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tabRatio="653" firstSheet="2" activeTab="2"/>
  </bookViews>
  <sheets>
    <sheet name="IDEAL 2000" sheetId="1" r:id="rId1"/>
    <sheet name="IDEAL 4000" sheetId="2" r:id="rId2"/>
    <sheet name="IDEAL 5000" sheetId="3" r:id="rId3"/>
    <sheet name="IDEAL 6000" sheetId="4" r:id="rId4"/>
    <sheet name="IDEAL 7000" sheetId="5" r:id="rId5"/>
    <sheet name="IDEAL 8000" sheetId="6" r:id="rId6"/>
    <sheet name="Drzwi otw. do środka" sheetId="7" r:id="rId7"/>
    <sheet name="Drzwi otw. na zewnątrz" sheetId="8" r:id="rId8"/>
    <sheet name="HST" sheetId="9" r:id="rId9"/>
    <sheet name="Nord-line" sheetId="10" r:id="rId10"/>
  </sheets>
  <definedNames>
    <definedName name="_xlnm.Print_Area" localSheetId="6">'Drzwi otw. do środka'!$A$1:$L$29</definedName>
    <definedName name="_xlnm.Print_Area" localSheetId="7">'Drzwi otw. na zewnątrz'!$A$1:$L$29</definedName>
    <definedName name="_xlnm.Print_Area" localSheetId="8">'HST'!$A$1:$L$29</definedName>
    <definedName name="_xlnm.Print_Area" localSheetId="0">'IDEAL 2000'!$A$1:$L$29</definedName>
    <definedName name="_xlnm.Print_Area" localSheetId="1">'IDEAL 4000'!$A$1:$L$29</definedName>
    <definedName name="_xlnm.Print_Area" localSheetId="2">'IDEAL 5000'!$A$1:$L$29</definedName>
    <definedName name="_xlnm.Print_Area" localSheetId="3">'IDEAL 6000'!$A$1:$L$30</definedName>
    <definedName name="_xlnm.Print_Area" localSheetId="4">'IDEAL 7000'!$A$1:$L$29</definedName>
    <definedName name="_xlnm.Print_Area" localSheetId="5">'IDEAL 8000'!$A$1:$L$29</definedName>
  </definedNames>
  <calcPr fullCalcOnLoad="1"/>
</workbook>
</file>

<file path=xl/comments7.xml><?xml version="1.0" encoding="utf-8"?>
<comments xmlns="http://schemas.openxmlformats.org/spreadsheetml/2006/main">
  <authors>
    <author>Karol Reinsch</author>
  </authors>
  <commentList>
    <comment ref="C11" authorId="0">
      <text>
        <r>
          <rPr>
            <b/>
            <sz val="8"/>
            <rFont val="Tahoma"/>
            <family val="2"/>
          </rPr>
          <t>Wybierz z listy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Wybierz z listy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Karol Reinsch</author>
  </authors>
  <commentList>
    <comment ref="C10" authorId="0">
      <text>
        <r>
          <rPr>
            <b/>
            <sz val="8"/>
            <rFont val="Tahoma"/>
            <family val="2"/>
          </rPr>
          <t>Wybierz z listy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2"/>
          </rPr>
          <t>Wybierz z listy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Karol Reinsch</author>
  </authors>
  <commentList>
    <comment ref="C10" authorId="0">
      <text>
        <r>
          <rPr>
            <b/>
            <sz val="8"/>
            <rFont val="Tahoma"/>
            <family val="2"/>
          </rPr>
          <t>Wybierz z listy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<sst xmlns="http://schemas.openxmlformats.org/spreadsheetml/2006/main" count="989" uniqueCount="239">
  <si>
    <t>mm</t>
  </si>
  <si>
    <t>Ψ2=</t>
  </si>
  <si>
    <t>Ψ1=</t>
  </si>
  <si>
    <t>Szyba:</t>
  </si>
  <si>
    <t>W/(m2*K)</t>
  </si>
  <si>
    <t>L1=</t>
  </si>
  <si>
    <t>L2=</t>
  </si>
  <si>
    <t>Szer. okna:</t>
  </si>
  <si>
    <t>Wys. okna:</t>
  </si>
  <si>
    <t>A=</t>
  </si>
  <si>
    <t>DLA CAŁEGO OKNA</t>
  </si>
  <si>
    <t>120002/120023</t>
  </si>
  <si>
    <t>Kombinacja</t>
  </si>
  <si>
    <t>120002/120024</t>
  </si>
  <si>
    <t>120005/120022</t>
  </si>
  <si>
    <t>120022/120041</t>
  </si>
  <si>
    <t>120023/120041</t>
  </si>
  <si>
    <t>120024/120041</t>
  </si>
  <si>
    <t>120022/120203</t>
  </si>
  <si>
    <t>120023/120203</t>
  </si>
  <si>
    <t>120024/120203</t>
  </si>
  <si>
    <t>Ψ</t>
  </si>
  <si>
    <t>SN</t>
  </si>
  <si>
    <t>IDEAL 2000</t>
  </si>
  <si>
    <t>IDEAL 4000</t>
  </si>
  <si>
    <t>140002/140023</t>
  </si>
  <si>
    <t>140002/140025</t>
  </si>
  <si>
    <t>140023/140041</t>
  </si>
  <si>
    <t>140025/140041</t>
  </si>
  <si>
    <t>140023/140066</t>
  </si>
  <si>
    <t>140025/140066</t>
  </si>
  <si>
    <t>150002/150025</t>
  </si>
  <si>
    <t>150025/150043</t>
  </si>
  <si>
    <t>150025/150065</t>
  </si>
  <si>
    <t>IDEAL 5000</t>
  </si>
  <si>
    <t>IDEAL 6000</t>
  </si>
  <si>
    <t>160003/160025</t>
  </si>
  <si>
    <t>160025/160043</t>
  </si>
  <si>
    <t>140001/140022</t>
  </si>
  <si>
    <t>140022/140041</t>
  </si>
  <si>
    <t>140022/140066</t>
  </si>
  <si>
    <t>140001/140020</t>
  </si>
  <si>
    <t>140020/140041</t>
  </si>
  <si>
    <t>140020/140066</t>
  </si>
  <si>
    <t>140001/140026</t>
  </si>
  <si>
    <t>140026/140041</t>
  </si>
  <si>
    <t>Rama/skrzydło</t>
  </si>
  <si>
    <t>Skrzydło/słupek</t>
  </si>
  <si>
    <t>Rama / skrzydło:</t>
  </si>
  <si>
    <t>Skrzydło / słupek:</t>
  </si>
  <si>
    <t>140026/140066</t>
  </si>
  <si>
    <t>Uf1=</t>
  </si>
  <si>
    <t>Uf2=</t>
  </si>
  <si>
    <t>Af1=</t>
  </si>
  <si>
    <t>Af2=</t>
  </si>
  <si>
    <t>Uw=</t>
  </si>
  <si>
    <t>Uf</t>
  </si>
  <si>
    <t>110007/120020</t>
  </si>
  <si>
    <t>110007/120081</t>
  </si>
  <si>
    <t>110007/120079</t>
  </si>
  <si>
    <t>120005/120020</t>
  </si>
  <si>
    <t>120006/120020</t>
  </si>
  <si>
    <t>120020/120203</t>
  </si>
  <si>
    <t>120020/120041</t>
  </si>
  <si>
    <t>120081/120041</t>
  </si>
  <si>
    <t>120079/120041</t>
  </si>
  <si>
    <t>120079/120203</t>
  </si>
  <si>
    <t>120081/120203</t>
  </si>
  <si>
    <t>Ilość słupków:</t>
  </si>
  <si>
    <t>Ilość poprzeczek:</t>
  </si>
  <si>
    <t>Sr=</t>
  </si>
  <si>
    <t>Ssł=</t>
  </si>
  <si>
    <t>Ar=</t>
  </si>
  <si>
    <t>Asł=</t>
  </si>
  <si>
    <t>Ap=</t>
  </si>
  <si>
    <t>Szer.rama/skrzyd.</t>
  </si>
  <si>
    <t>Pow.rama/skrzyd.</t>
  </si>
  <si>
    <t>Szer.słupek/skrzyd.</t>
  </si>
  <si>
    <t>Pow.słupek/skrzyd.</t>
  </si>
  <si>
    <t>Pow.pop./skrzyd.</t>
  </si>
  <si>
    <t>Całkowita pow.ram</t>
  </si>
  <si>
    <t>As=</t>
  </si>
  <si>
    <t>Całkowita pow.szkła</t>
  </si>
  <si>
    <t>Całkowita pow.okna</t>
  </si>
  <si>
    <t>Ur=</t>
  </si>
  <si>
    <t>Wsp.U dla r/s</t>
  </si>
  <si>
    <t>Wsp.U dla sł.,pop./skrz.</t>
  </si>
  <si>
    <t>Usł=</t>
  </si>
  <si>
    <t>Wsp.U dla szyby</t>
  </si>
  <si>
    <t>Us=</t>
  </si>
  <si>
    <t>Szer.okna w m</t>
  </si>
  <si>
    <t>Wys.okna w m</t>
  </si>
  <si>
    <t>Szer.=</t>
  </si>
  <si>
    <t>Wys.=</t>
  </si>
  <si>
    <t>Wsp.mostka sł.-szyba</t>
  </si>
  <si>
    <t>Wsp.mostka r.-szyba</t>
  </si>
  <si>
    <t>Dł.mostka r.-szyba</t>
  </si>
  <si>
    <t>Dł.mostka sł.-szyba</t>
  </si>
  <si>
    <t>Dł.mostka pop.-szyba</t>
  </si>
  <si>
    <t>L3=</t>
  </si>
  <si>
    <t>Całkowita dł.mostka</t>
  </si>
  <si>
    <t>L=</t>
  </si>
  <si>
    <t>m2</t>
  </si>
  <si>
    <t>Ug=</t>
  </si>
  <si>
    <t>Ag=</t>
  </si>
  <si>
    <t>W/(m*K)</t>
  </si>
  <si>
    <t>m</t>
  </si>
  <si>
    <t>Uw</t>
  </si>
  <si>
    <t>* Firma aluplast nie ponosi żadnej odpowiedzialności w przypadku ewentualnych błędów w kalkulacji.</t>
  </si>
  <si>
    <t>Ramka</t>
  </si>
  <si>
    <t>Aluminiowa</t>
  </si>
  <si>
    <t>Ciepła</t>
  </si>
  <si>
    <t>Kolumna1</t>
  </si>
  <si>
    <t>Ramka szyby:</t>
  </si>
  <si>
    <t>Ψ=</t>
  </si>
  <si>
    <t>160025/160065</t>
  </si>
  <si>
    <t>PH160003/160025</t>
  </si>
  <si>
    <t>PH160025/160043</t>
  </si>
  <si>
    <t>PH160025/160065</t>
  </si>
  <si>
    <t xml:space="preserve"> </t>
  </si>
  <si>
    <t>Skrzydło/próg</t>
  </si>
  <si>
    <t>Skrzydło/słupek ruch.</t>
  </si>
  <si>
    <t>Szer.skrzydło/próg</t>
  </si>
  <si>
    <t>Sps=</t>
  </si>
  <si>
    <t>Pow.skrzydło/próg</t>
  </si>
  <si>
    <t>Aps=</t>
  </si>
  <si>
    <t>Poprzeczka</t>
  </si>
  <si>
    <t>Pow.poprzeczki</t>
  </si>
  <si>
    <t>Szer.poprzeczki</t>
  </si>
  <si>
    <t>Sp=</t>
  </si>
  <si>
    <t>Wsp.U dla p/s</t>
  </si>
  <si>
    <t>Ur2=</t>
  </si>
  <si>
    <t>Ur1=</t>
  </si>
  <si>
    <t>Wsp.U dla sł./skrz.</t>
  </si>
  <si>
    <t>Wsp.U dla poprzeczki</t>
  </si>
  <si>
    <t>Up=</t>
  </si>
  <si>
    <t>Słupek ruchomy:</t>
  </si>
  <si>
    <t>Poprzeczka:</t>
  </si>
  <si>
    <t>Uf3=</t>
  </si>
  <si>
    <t>Uf4=</t>
  </si>
  <si>
    <t>Af3=</t>
  </si>
  <si>
    <t>Af4=</t>
  </si>
  <si>
    <t>170007/140020</t>
  </si>
  <si>
    <t>170007/140022</t>
  </si>
  <si>
    <t>120007/120027</t>
  </si>
  <si>
    <t>120027/120203</t>
  </si>
  <si>
    <t>120027/120041</t>
  </si>
  <si>
    <t>OBLICZENIE WSPÓŁCZYNNIKA PRZENIKANIA CIEPŁA "Uw"</t>
  </si>
  <si>
    <t>Skrzydło/skrzydło</t>
  </si>
  <si>
    <t>Schemat A i D</t>
  </si>
  <si>
    <t>Schemat</t>
  </si>
  <si>
    <t>Ar/s</t>
  </si>
  <si>
    <t>As/s</t>
  </si>
  <si>
    <t>Szer.rama/skrzydło</t>
  </si>
  <si>
    <t>Szer.skrzydło/skrzydło</t>
  </si>
  <si>
    <t>Sr/r=</t>
  </si>
  <si>
    <t>Ss/s=</t>
  </si>
  <si>
    <t>Pow.rama/skrzydło</t>
  </si>
  <si>
    <t>Ar/s=</t>
  </si>
  <si>
    <t>As/p</t>
  </si>
  <si>
    <t>As/p=</t>
  </si>
  <si>
    <t>Pow.skrzydło/skrzydło</t>
  </si>
  <si>
    <t>As/s=</t>
  </si>
  <si>
    <t>Skrzydło-skrzydło</t>
  </si>
  <si>
    <t>Szer.skrzydło-skrzydło</t>
  </si>
  <si>
    <t>Ss/p=</t>
  </si>
  <si>
    <t>Ss-s=</t>
  </si>
  <si>
    <t>Pow.skrzydło-skrzydło</t>
  </si>
  <si>
    <t>As-s=</t>
  </si>
  <si>
    <t>Uf=</t>
  </si>
  <si>
    <t>Schemat:</t>
  </si>
  <si>
    <t>Wsp.U dla ramy</t>
  </si>
  <si>
    <t>Af=</t>
  </si>
  <si>
    <t>Ar</t>
  </si>
  <si>
    <t>L</t>
  </si>
  <si>
    <t>040007/140086</t>
  </si>
  <si>
    <t>040007/140085</t>
  </si>
  <si>
    <t>140086/140041</t>
  </si>
  <si>
    <t>140086/140066</t>
  </si>
  <si>
    <t>140085/140041</t>
  </si>
  <si>
    <t>140085/140066</t>
  </si>
  <si>
    <t>170007</t>
  </si>
  <si>
    <t>170007/140023</t>
  </si>
  <si>
    <t>170007/140025</t>
  </si>
  <si>
    <t>140020/170045</t>
  </si>
  <si>
    <t>140022/170045</t>
  </si>
  <si>
    <t>150002/150026</t>
  </si>
  <si>
    <t>150003/150025</t>
  </si>
  <si>
    <t>150003/150026</t>
  </si>
  <si>
    <t>150026/150043</t>
  </si>
  <si>
    <t>150026/150065</t>
  </si>
  <si>
    <t>050003/050083</t>
  </si>
  <si>
    <t>050003/050086</t>
  </si>
  <si>
    <t>050003/150085</t>
  </si>
  <si>
    <t>050083/150043</t>
  </si>
  <si>
    <t>050083/150065</t>
  </si>
  <si>
    <t>050086/150043</t>
  </si>
  <si>
    <t>050086/150065</t>
  </si>
  <si>
    <t>150085/150043</t>
  </si>
  <si>
    <t>150085/150065</t>
  </si>
  <si>
    <t>080005/080086</t>
  </si>
  <si>
    <t>180003/180083</t>
  </si>
  <si>
    <t>180003/180085</t>
  </si>
  <si>
    <t>IDEAL 8000</t>
  </si>
  <si>
    <t>IDEAL 7000</t>
  </si>
  <si>
    <t>180003/180095</t>
  </si>
  <si>
    <t>080086/180044</t>
  </si>
  <si>
    <t>080086/180064</t>
  </si>
  <si>
    <t>180083/180043</t>
  </si>
  <si>
    <t>180083/180065</t>
  </si>
  <si>
    <t>180085/180043</t>
  </si>
  <si>
    <t>180085/180065</t>
  </si>
  <si>
    <t>180095/180043</t>
  </si>
  <si>
    <t>180095/180065</t>
  </si>
  <si>
    <t>0,98</t>
  </si>
  <si>
    <r>
      <t xml:space="preserve">080005/080086 </t>
    </r>
    <r>
      <rPr>
        <sz val="12"/>
        <rFont val="Arial CE"/>
        <family val="0"/>
      </rPr>
      <t>P</t>
    </r>
  </si>
  <si>
    <r>
      <t xml:space="preserve">080086/180044 </t>
    </r>
    <r>
      <rPr>
        <sz val="12"/>
        <rFont val="Arial CE"/>
        <family val="0"/>
      </rPr>
      <t>P</t>
    </r>
  </si>
  <si>
    <r>
      <t xml:space="preserve">080086/180064 </t>
    </r>
    <r>
      <rPr>
        <sz val="12"/>
        <rFont val="Arial CE"/>
        <family val="0"/>
      </rPr>
      <t>P</t>
    </r>
  </si>
  <si>
    <r>
      <t>OBLICZENIE WSPÓŁCZYNNIKA PRZENIKANIA CIEPŁA "U</t>
    </r>
    <r>
      <rPr>
        <b/>
        <sz val="8"/>
        <color indexed="12"/>
        <rFont val="Arial CE"/>
        <family val="0"/>
      </rPr>
      <t>D</t>
    </r>
    <r>
      <rPr>
        <b/>
        <sz val="12"/>
        <color indexed="12"/>
        <rFont val="Arial CE"/>
        <family val="2"/>
      </rPr>
      <t>"</t>
    </r>
  </si>
  <si>
    <r>
      <t>U</t>
    </r>
    <r>
      <rPr>
        <b/>
        <sz val="9"/>
        <rFont val="Arial CE"/>
        <family val="0"/>
      </rPr>
      <t>D</t>
    </r>
    <r>
      <rPr>
        <b/>
        <sz val="14"/>
        <rFont val="Arial CE"/>
        <family val="0"/>
      </rPr>
      <t>=</t>
    </r>
  </si>
  <si>
    <t>dla drzwi wejściowych otwieranych do środka</t>
  </si>
  <si>
    <t>dla drzwi wejściowych otwieranych na zewnątrz</t>
  </si>
  <si>
    <t>dla drzwi HST</t>
  </si>
  <si>
    <t>Schemat C i F</t>
  </si>
  <si>
    <t>Ciepła 1</t>
  </si>
  <si>
    <t>Ciepła 2</t>
  </si>
  <si>
    <t>180005/180020</t>
  </si>
  <si>
    <t>180005/180026</t>
  </si>
  <si>
    <t>180020/180044</t>
  </si>
  <si>
    <t>180026/180044</t>
  </si>
  <si>
    <t>140090/140093</t>
  </si>
  <si>
    <t>140090/140095</t>
  </si>
  <si>
    <t>140093/140099 Sł.</t>
  </si>
  <si>
    <t>140093/140099 Sł.R.</t>
  </si>
  <si>
    <t>140093/140098 Horyz.</t>
  </si>
  <si>
    <t>140095/140099 Sł.</t>
  </si>
  <si>
    <t>140095/140099 Sł.R.</t>
  </si>
  <si>
    <t>140095/140098 Horyz.</t>
  </si>
  <si>
    <t>1,50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</si>
</sst>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0"/>
    </font>
    <font>
      <sz val="12"/>
      <color indexed="10"/>
      <name val="Arial CE"/>
      <family val="2"/>
    </font>
    <font>
      <sz val="12"/>
      <color indexed="8"/>
      <name val="Arial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b/>
      <sz val="14"/>
      <name val="Arial CE"/>
      <family val="0"/>
    </font>
    <font>
      <b/>
      <sz val="11"/>
      <color indexed="10"/>
      <name val="Arial CE"/>
      <family val="2"/>
    </font>
    <font>
      <sz val="8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Arial CE"/>
      <family val="0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30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20" borderId="0" xfId="0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right"/>
    </xf>
    <xf numFmtId="0" fontId="2" fillId="20" borderId="0" xfId="0" applyFont="1" applyFill="1" applyBorder="1" applyAlignment="1">
      <alignment horizontal="right"/>
    </xf>
    <xf numFmtId="0" fontId="2" fillId="20" borderId="0" xfId="0" applyFont="1" applyFill="1" applyBorder="1" applyAlignment="1">
      <alignment horizontal="left"/>
    </xf>
    <xf numFmtId="0" fontId="2" fillId="20" borderId="0" xfId="0" applyFont="1" applyFill="1" applyBorder="1" applyAlignment="1">
      <alignment/>
    </xf>
    <xf numFmtId="2" fontId="2" fillId="20" borderId="0" xfId="0" applyNumberFormat="1" applyFont="1" applyFill="1" applyBorder="1" applyAlignment="1">
      <alignment horizontal="left"/>
    </xf>
    <xf numFmtId="0" fontId="3" fillId="20" borderId="0" xfId="0" applyFont="1" applyFill="1" applyBorder="1" applyAlignment="1">
      <alignment horizontal="center"/>
    </xf>
    <xf numFmtId="0" fontId="5" fillId="10" borderId="10" xfId="0" applyFont="1" applyFill="1" applyBorder="1" applyAlignment="1" applyProtection="1">
      <alignment/>
      <protection locked="0"/>
    </xf>
    <xf numFmtId="0" fontId="5" fillId="10" borderId="1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2" fontId="2" fillId="20" borderId="0" xfId="0" applyNumberFormat="1" applyFont="1" applyFill="1" applyBorder="1" applyAlignment="1">
      <alignment/>
    </xf>
    <xf numFmtId="0" fontId="9" fillId="20" borderId="0" xfId="0" applyFont="1" applyFill="1" applyAlignment="1">
      <alignment/>
    </xf>
    <xf numFmtId="0" fontId="7" fillId="2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/>
    </xf>
    <xf numFmtId="164" fontId="5" fillId="10" borderId="10" xfId="0" applyNumberFormat="1" applyFont="1" applyFill="1" applyBorder="1" applyAlignment="1" applyProtection="1">
      <alignment horizontal="right"/>
      <protection locked="0"/>
    </xf>
    <xf numFmtId="164" fontId="2" fillId="20" borderId="0" xfId="0" applyNumberFormat="1" applyFont="1" applyFill="1" applyBorder="1" applyAlignment="1">
      <alignment horizontal="left"/>
    </xf>
    <xf numFmtId="0" fontId="11" fillId="10" borderId="10" xfId="0" applyFont="1" applyFill="1" applyBorder="1" applyAlignment="1" applyProtection="1">
      <alignment horizontal="right"/>
      <protection locked="0"/>
    </xf>
    <xf numFmtId="0" fontId="11" fillId="10" borderId="10" xfId="0" applyFont="1" applyFill="1" applyBorder="1" applyAlignment="1" applyProtection="1">
      <alignment/>
      <protection locked="0"/>
    </xf>
    <xf numFmtId="164" fontId="11" fillId="10" borderId="10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Border="1" applyAlignment="1">
      <alignment/>
    </xf>
    <xf numFmtId="0" fontId="11" fillId="10" borderId="11" xfId="0" applyFont="1" applyFill="1" applyBorder="1" applyAlignment="1" applyProtection="1">
      <alignment horizontal="right"/>
      <protection locked="0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24" borderId="15" xfId="0" applyFont="1" applyFill="1" applyBorder="1" applyAlignment="1">
      <alignment horizontal="center"/>
    </xf>
    <xf numFmtId="2" fontId="10" fillId="24" borderId="16" xfId="0" applyNumberFormat="1" applyFont="1" applyFill="1" applyBorder="1" applyAlignment="1">
      <alignment horizontal="center"/>
    </xf>
    <xf numFmtId="0" fontId="10" fillId="24" borderId="16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 applyProtection="1">
      <alignment horizontal="left"/>
      <protection/>
    </xf>
    <xf numFmtId="0" fontId="34" fillId="10" borderId="10" xfId="0" applyFont="1" applyFill="1" applyBorder="1" applyAlignment="1" applyProtection="1">
      <alignment horizontal="right"/>
      <protection locked="0"/>
    </xf>
    <xf numFmtId="0" fontId="6" fillId="20" borderId="0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686800" y="3543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810625" y="3543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743950" y="3543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734425" y="3543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715375" y="3543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810625" y="3543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810625" y="3543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715375" y="3533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715375" y="3533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820150" y="35242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a1" displayName="Lista1" ref="N2:N10" totalsRowShown="0">
  <tableColumns count="1">
    <tableColumn id="1" name="140001/140020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6" name="Lista3" displayName="Lista3" ref="R50:R51" totalsRowShown="0">
  <tableColumns count="1">
    <tableColumn id="1" name="Kolumna1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1" name="Lista112" displayName="Lista112" ref="N3:N11" totalsRowShown="0">
  <tableColumns count="1">
    <tableColumn id="1" name="170007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2" name="Lista313" displayName="Lista313" ref="R50:R51" totalsRowShown="0">
  <tableColumns count="1">
    <tableColumn id="1" name="Kolumna1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3" name="Lista11214" displayName="Lista11214" ref="N3:O11" totalsRowShown="0">
  <tableColumns count="2">
    <tableColumn id="1" name="080005/080086"/>
    <tableColumn id="2" name="0,98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14" name="Lista31315" displayName="Lista31315" ref="R50:R51" totalsRowShown="0">
  <tableColumns count="1">
    <tableColumn id="1" name="Kolumna1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15" name="Lista1121416" displayName="Lista1121416" ref="N3:O11" totalsRowShown="0">
  <tableColumns count="2">
    <tableColumn id="1" name="140090/140093"/>
    <tableColumn id="2" name="1,50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16" name="Lista3131517" displayName="Lista3131517" ref="R50:R51" totalsRowShown="0">
  <tableColumns count="1">
    <tableColumn id="1" name="K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drawing" Target="../drawings/drawing10.xml" /><Relationship Id="rId6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oleObject" Target="../embeddings/oleObject_8_0.bin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4"/>
  <sheetViews>
    <sheetView zoomScale="90" zoomScaleNormal="90" zoomScalePageLayoutView="0" workbookViewId="0" topLeftCell="A1">
      <selection activeCell="V12" sqref="V12"/>
    </sheetView>
  </sheetViews>
  <sheetFormatPr defaultColWidth="9.00390625" defaultRowHeight="12.75"/>
  <cols>
    <col min="1" max="1" width="9.125" style="2" customWidth="1"/>
    <col min="2" max="2" width="20.00390625" style="2" bestFit="1" customWidth="1"/>
    <col min="3" max="3" width="17.625" style="2" bestFit="1" customWidth="1"/>
    <col min="4" max="4" width="10.375" style="3" bestFit="1" customWidth="1"/>
    <col min="5" max="5" width="6.25390625" style="2" bestFit="1" customWidth="1"/>
    <col min="6" max="6" width="6.75390625" style="2" bestFit="1" customWidth="1"/>
    <col min="7" max="7" width="7.75390625" style="2" bestFit="1" customWidth="1"/>
    <col min="8" max="8" width="7.375" style="2" bestFit="1" customWidth="1"/>
    <col min="9" max="9" width="4.125" style="2" bestFit="1" customWidth="1"/>
    <col min="10" max="10" width="6.375" style="2" bestFit="1" customWidth="1"/>
    <col min="11" max="12" width="9.125" style="2" customWidth="1"/>
    <col min="13" max="13" width="9.125" style="19" hidden="1" customWidth="1"/>
    <col min="14" max="14" width="24.125" style="12" hidden="1" customWidth="1"/>
    <col min="15" max="15" width="9.125" style="12" hidden="1" customWidth="1"/>
    <col min="16" max="16" width="7.75390625" style="12" hidden="1" customWidth="1"/>
    <col min="17" max="17" width="9.125" style="12" hidden="1" customWidth="1"/>
    <col min="18" max="16384" width="9.125" style="1" customWidth="1"/>
  </cols>
  <sheetData>
    <row r="1" spans="13:17" ht="15.75">
      <c r="M1" s="19">
        <v>1</v>
      </c>
      <c r="N1" s="15" t="s">
        <v>12</v>
      </c>
      <c r="O1" s="15" t="s">
        <v>56</v>
      </c>
      <c r="P1" s="16" t="s">
        <v>21</v>
      </c>
      <c r="Q1" s="15" t="s">
        <v>22</v>
      </c>
    </row>
    <row r="2" spans="2:14" ht="15.75">
      <c r="B2" s="68" t="s">
        <v>147</v>
      </c>
      <c r="C2" s="68"/>
      <c r="D2" s="68"/>
      <c r="E2" s="68"/>
      <c r="F2" s="68"/>
      <c r="G2" s="68"/>
      <c r="H2" s="68"/>
      <c r="I2" s="68"/>
      <c r="J2" s="68"/>
      <c r="K2" s="68"/>
      <c r="M2" s="19">
        <f>M1+1</f>
        <v>2</v>
      </c>
      <c r="N2" s="18" t="s">
        <v>46</v>
      </c>
    </row>
    <row r="3" spans="2:17" ht="15.75">
      <c r="B3" s="68" t="s">
        <v>10</v>
      </c>
      <c r="C3" s="68"/>
      <c r="D3" s="68"/>
      <c r="E3" s="68"/>
      <c r="F3" s="68"/>
      <c r="G3" s="68"/>
      <c r="H3" s="68"/>
      <c r="I3" s="68"/>
      <c r="J3" s="68"/>
      <c r="K3" s="68"/>
      <c r="M3" s="19">
        <f aca="true" t="shared" si="0" ref="M3:M47">M2+1</f>
        <v>3</v>
      </c>
      <c r="N3" s="14" t="s">
        <v>57</v>
      </c>
      <c r="O3" s="13">
        <v>1.51</v>
      </c>
      <c r="P3" s="13">
        <v>0.066</v>
      </c>
      <c r="Q3" s="13">
        <v>0.119</v>
      </c>
    </row>
    <row r="4" spans="2:17" ht="15.75">
      <c r="B4" s="69" t="s">
        <v>23</v>
      </c>
      <c r="C4" s="69"/>
      <c r="D4" s="69"/>
      <c r="E4" s="69"/>
      <c r="F4" s="69"/>
      <c r="G4" s="69"/>
      <c r="H4" s="69"/>
      <c r="I4" s="69"/>
      <c r="J4" s="69"/>
      <c r="K4" s="69"/>
      <c r="M4" s="19">
        <f t="shared" si="0"/>
        <v>4</v>
      </c>
      <c r="N4" s="14" t="s">
        <v>59</v>
      </c>
      <c r="O4" s="13">
        <v>1.51</v>
      </c>
      <c r="P4" s="13">
        <v>0.066</v>
      </c>
      <c r="Q4" s="13">
        <v>0.119</v>
      </c>
    </row>
    <row r="5" spans="2:17" ht="15">
      <c r="B5" s="70"/>
      <c r="C5" s="70"/>
      <c r="D5" s="70"/>
      <c r="E5" s="70"/>
      <c r="F5" s="70"/>
      <c r="G5" s="70"/>
      <c r="H5" s="70"/>
      <c r="I5" s="70"/>
      <c r="J5" s="70"/>
      <c r="K5" s="70"/>
      <c r="M5" s="19">
        <f t="shared" si="0"/>
        <v>5</v>
      </c>
      <c r="N5" s="14" t="s">
        <v>58</v>
      </c>
      <c r="O5" s="13">
        <v>1.51</v>
      </c>
      <c r="P5" s="13">
        <v>0.066</v>
      </c>
      <c r="Q5" s="13">
        <v>0.124</v>
      </c>
    </row>
    <row r="6" spans="13:17" ht="15">
      <c r="M6" s="19">
        <f t="shared" si="0"/>
        <v>6</v>
      </c>
      <c r="N6" s="13" t="s">
        <v>11</v>
      </c>
      <c r="O6" s="13">
        <v>1.58</v>
      </c>
      <c r="P6" s="13">
        <v>0.066</v>
      </c>
      <c r="Q6" s="13">
        <v>0.124</v>
      </c>
    </row>
    <row r="7" spans="2:17" ht="15.75">
      <c r="B7" s="4" t="s">
        <v>7</v>
      </c>
      <c r="C7" s="10">
        <v>1230</v>
      </c>
      <c r="D7" s="2" t="s">
        <v>0</v>
      </c>
      <c r="E7" s="5" t="s">
        <v>51</v>
      </c>
      <c r="F7" s="8">
        <f>P40</f>
        <v>1.51</v>
      </c>
      <c r="G7" s="7" t="s">
        <v>4</v>
      </c>
      <c r="I7" s="5" t="s">
        <v>114</v>
      </c>
      <c r="J7" s="2">
        <f>P43</f>
        <v>0.032</v>
      </c>
      <c r="K7" s="6" t="s">
        <v>105</v>
      </c>
      <c r="M7" s="19">
        <f t="shared" si="0"/>
        <v>7</v>
      </c>
      <c r="N7" s="14" t="s">
        <v>13</v>
      </c>
      <c r="O7" s="13">
        <v>1.74</v>
      </c>
      <c r="P7" s="13">
        <v>0.051</v>
      </c>
      <c r="Q7" s="13">
        <v>0.119</v>
      </c>
    </row>
    <row r="8" spans="2:17" ht="15.75">
      <c r="B8" s="4" t="s">
        <v>8</v>
      </c>
      <c r="C8" s="10">
        <v>1480</v>
      </c>
      <c r="D8" s="2" t="s">
        <v>0</v>
      </c>
      <c r="E8" s="5" t="s">
        <v>52</v>
      </c>
      <c r="F8" s="8">
        <f>P41</f>
        <v>0</v>
      </c>
      <c r="G8" s="7" t="s">
        <v>4</v>
      </c>
      <c r="I8" s="5" t="s">
        <v>101</v>
      </c>
      <c r="J8" s="30">
        <f>P48</f>
        <v>4.428</v>
      </c>
      <c r="K8" s="6" t="s">
        <v>106</v>
      </c>
      <c r="M8" s="19">
        <f t="shared" si="0"/>
        <v>8</v>
      </c>
      <c r="N8" s="14" t="s">
        <v>60</v>
      </c>
      <c r="O8" s="13">
        <v>1.65</v>
      </c>
      <c r="P8" s="13">
        <v>0.065</v>
      </c>
      <c r="Q8" s="13">
        <v>0.114</v>
      </c>
    </row>
    <row r="9" spans="2:17" ht="15.75">
      <c r="B9" s="4" t="s">
        <v>3</v>
      </c>
      <c r="C9" s="35">
        <v>1</v>
      </c>
      <c r="D9" s="7" t="s">
        <v>4</v>
      </c>
      <c r="E9" s="5" t="s">
        <v>53</v>
      </c>
      <c r="F9" s="8">
        <f>P34</f>
        <v>0.610576</v>
      </c>
      <c r="G9" s="2" t="s">
        <v>102</v>
      </c>
      <c r="I9" s="5"/>
      <c r="J9" s="30"/>
      <c r="K9" s="6"/>
      <c r="M9" s="19">
        <f t="shared" si="0"/>
        <v>9</v>
      </c>
      <c r="N9" s="14" t="s">
        <v>14</v>
      </c>
      <c r="O9" s="13">
        <v>1.65</v>
      </c>
      <c r="P9" s="13">
        <v>0.065</v>
      </c>
      <c r="Q9" s="13">
        <v>0.114</v>
      </c>
    </row>
    <row r="10" spans="2:17" ht="15.75">
      <c r="B10" s="4" t="s">
        <v>68</v>
      </c>
      <c r="C10" s="11">
        <v>0</v>
      </c>
      <c r="D10" s="7"/>
      <c r="E10" s="5" t="s">
        <v>54</v>
      </c>
      <c r="F10" s="8">
        <f>P35+P36</f>
        <v>0</v>
      </c>
      <c r="G10" s="2" t="s">
        <v>102</v>
      </c>
      <c r="M10" s="19">
        <f t="shared" si="0"/>
        <v>10</v>
      </c>
      <c r="N10" s="14" t="s">
        <v>61</v>
      </c>
      <c r="O10" s="13">
        <v>1.59</v>
      </c>
      <c r="P10" s="13">
        <v>0.066</v>
      </c>
      <c r="Q10" s="13">
        <v>0.119</v>
      </c>
    </row>
    <row r="11" spans="2:17" ht="15.75">
      <c r="B11" s="4" t="s">
        <v>69</v>
      </c>
      <c r="C11" s="11">
        <v>0</v>
      </c>
      <c r="D11" s="7"/>
      <c r="E11" s="5" t="s">
        <v>103</v>
      </c>
      <c r="F11" s="36">
        <f>P42</f>
        <v>1</v>
      </c>
      <c r="G11" s="7" t="s">
        <v>4</v>
      </c>
      <c r="M11" s="19">
        <f t="shared" si="0"/>
        <v>11</v>
      </c>
      <c r="N11" s="14" t="s">
        <v>144</v>
      </c>
      <c r="O11" s="13">
        <v>1.72</v>
      </c>
      <c r="P11" s="13">
        <v>0.064</v>
      </c>
      <c r="Q11" s="13">
        <v>0.119</v>
      </c>
    </row>
    <row r="12" spans="2:13" ht="15.75">
      <c r="B12" s="4" t="s">
        <v>48</v>
      </c>
      <c r="C12" s="11" t="s">
        <v>58</v>
      </c>
      <c r="D12" s="2"/>
      <c r="E12" s="5" t="s">
        <v>104</v>
      </c>
      <c r="F12" s="8">
        <f>P38</f>
        <v>1.209824</v>
      </c>
      <c r="G12" s="2" t="s">
        <v>102</v>
      </c>
      <c r="M12" s="19">
        <f t="shared" si="0"/>
        <v>12</v>
      </c>
    </row>
    <row r="13" spans="2:14" ht="15.75">
      <c r="B13" s="4" t="s">
        <v>49</v>
      </c>
      <c r="C13" s="11">
        <v>0</v>
      </c>
      <c r="D13" s="2"/>
      <c r="M13" s="19">
        <f t="shared" si="0"/>
        <v>13</v>
      </c>
      <c r="N13" s="18" t="s">
        <v>47</v>
      </c>
    </row>
    <row r="14" spans="2:17" ht="15.75">
      <c r="B14" s="32" t="s">
        <v>113</v>
      </c>
      <c r="C14" s="11" t="s">
        <v>225</v>
      </c>
      <c r="D14" s="2"/>
      <c r="M14" s="19">
        <f t="shared" si="0"/>
        <v>14</v>
      </c>
      <c r="N14" s="14">
        <v>0</v>
      </c>
      <c r="O14" s="17">
        <v>0</v>
      </c>
      <c r="P14" s="13">
        <v>0</v>
      </c>
      <c r="Q14" s="13">
        <v>0</v>
      </c>
    </row>
    <row r="15" spans="4:17" ht="15">
      <c r="D15" s="2"/>
      <c r="M15" s="19">
        <f t="shared" si="0"/>
        <v>15</v>
      </c>
      <c r="N15" s="14" t="s">
        <v>63</v>
      </c>
      <c r="O15" s="17">
        <v>1.75</v>
      </c>
      <c r="P15" s="13">
        <v>0.067</v>
      </c>
      <c r="Q15" s="13">
        <v>0.178</v>
      </c>
    </row>
    <row r="16" spans="13:17" ht="15">
      <c r="M16" s="19">
        <f t="shared" si="0"/>
        <v>16</v>
      </c>
      <c r="N16" s="14" t="s">
        <v>62</v>
      </c>
      <c r="O16" s="17">
        <v>1.77</v>
      </c>
      <c r="P16" s="13">
        <v>0.067</v>
      </c>
      <c r="Q16" s="13">
        <v>0.161</v>
      </c>
    </row>
    <row r="17" spans="4:17" ht="15">
      <c r="D17" s="9"/>
      <c r="M17" s="19">
        <f t="shared" si="0"/>
        <v>17</v>
      </c>
      <c r="N17" s="14" t="s">
        <v>15</v>
      </c>
      <c r="O17" s="17">
        <v>2</v>
      </c>
      <c r="P17" s="13">
        <v>0.065</v>
      </c>
      <c r="Q17" s="13">
        <v>0.178</v>
      </c>
    </row>
    <row r="18" spans="4:17" ht="15">
      <c r="D18" s="9"/>
      <c r="M18" s="19">
        <f t="shared" si="0"/>
        <v>18</v>
      </c>
      <c r="N18" s="14" t="s">
        <v>18</v>
      </c>
      <c r="O18" s="17">
        <v>1.9</v>
      </c>
      <c r="P18" s="13">
        <v>0.067</v>
      </c>
      <c r="Q18" s="13">
        <v>0.161</v>
      </c>
    </row>
    <row r="19" spans="4:17" ht="15">
      <c r="D19" s="9"/>
      <c r="M19" s="19">
        <f t="shared" si="0"/>
        <v>19</v>
      </c>
      <c r="N19" s="14" t="s">
        <v>16</v>
      </c>
      <c r="O19" s="17">
        <v>1.48</v>
      </c>
      <c r="P19" s="13">
        <v>0.067</v>
      </c>
      <c r="Q19" s="13">
        <v>0.188</v>
      </c>
    </row>
    <row r="20" spans="4:17" ht="15">
      <c r="D20" s="9"/>
      <c r="M20" s="19">
        <f t="shared" si="0"/>
        <v>20</v>
      </c>
      <c r="N20" s="14" t="s">
        <v>19</v>
      </c>
      <c r="O20" s="17">
        <v>1.48</v>
      </c>
      <c r="P20" s="13">
        <v>0.067</v>
      </c>
      <c r="Q20" s="13">
        <v>0.171</v>
      </c>
    </row>
    <row r="21" spans="4:17" ht="15">
      <c r="D21" s="9"/>
      <c r="M21" s="19">
        <f t="shared" si="0"/>
        <v>21</v>
      </c>
      <c r="N21" s="14" t="s">
        <v>17</v>
      </c>
      <c r="O21" s="17">
        <v>1.72</v>
      </c>
      <c r="P21" s="13">
        <v>0.064</v>
      </c>
      <c r="Q21" s="13">
        <v>0.178</v>
      </c>
    </row>
    <row r="22" spans="4:17" ht="15">
      <c r="D22" s="9"/>
      <c r="M22" s="19">
        <f t="shared" si="0"/>
        <v>22</v>
      </c>
      <c r="N22" s="14" t="s">
        <v>20</v>
      </c>
      <c r="O22" s="17">
        <v>1.66</v>
      </c>
      <c r="P22" s="13">
        <v>0.065</v>
      </c>
      <c r="Q22" s="13">
        <v>0.161</v>
      </c>
    </row>
    <row r="23" spans="4:17" ht="15">
      <c r="D23" s="9"/>
      <c r="M23" s="19">
        <f t="shared" si="0"/>
        <v>23</v>
      </c>
      <c r="N23" s="14" t="s">
        <v>65</v>
      </c>
      <c r="O23" s="17">
        <v>1.75</v>
      </c>
      <c r="P23" s="13">
        <v>0.067</v>
      </c>
      <c r="Q23" s="13">
        <v>0.178</v>
      </c>
    </row>
    <row r="24" spans="4:17" ht="15">
      <c r="D24" s="9"/>
      <c r="M24" s="19">
        <f t="shared" si="0"/>
        <v>24</v>
      </c>
      <c r="N24" s="14" t="s">
        <v>66</v>
      </c>
      <c r="O24" s="17">
        <v>1.77</v>
      </c>
      <c r="P24" s="13">
        <v>0.067</v>
      </c>
      <c r="Q24" s="13">
        <v>0.161</v>
      </c>
    </row>
    <row r="25" spans="4:17" ht="15">
      <c r="D25" s="9"/>
      <c r="M25" s="19">
        <f t="shared" si="0"/>
        <v>25</v>
      </c>
      <c r="N25" s="14" t="s">
        <v>64</v>
      </c>
      <c r="O25" s="17">
        <v>1.75</v>
      </c>
      <c r="P25" s="13">
        <v>0.067</v>
      </c>
      <c r="Q25" s="13">
        <v>0.188</v>
      </c>
    </row>
    <row r="26" spans="13:17" ht="15.75" thickBot="1">
      <c r="M26" s="19">
        <f t="shared" si="0"/>
        <v>26</v>
      </c>
      <c r="N26" s="14" t="s">
        <v>67</v>
      </c>
      <c r="O26" s="17">
        <v>1.77</v>
      </c>
      <c r="P26" s="13">
        <v>0.067</v>
      </c>
      <c r="Q26" s="13">
        <v>0.171</v>
      </c>
    </row>
    <row r="27" spans="5:17" ht="19.5" thickBot="1" thickTop="1">
      <c r="E27" s="60" t="s">
        <v>55</v>
      </c>
      <c r="F27" s="61">
        <f>P49</f>
        <v>1.2488957152274225</v>
      </c>
      <c r="G27" s="62" t="s">
        <v>4</v>
      </c>
      <c r="H27" s="63"/>
      <c r="M27" s="19">
        <f t="shared" si="0"/>
        <v>27</v>
      </c>
      <c r="N27" s="14" t="s">
        <v>146</v>
      </c>
      <c r="O27" s="17">
        <v>1.69</v>
      </c>
      <c r="P27" s="13" t="s">
        <v>119</v>
      </c>
      <c r="Q27" s="13">
        <v>0.178</v>
      </c>
    </row>
    <row r="28" spans="13:17" ht="15.75" thickTop="1">
      <c r="M28" s="19">
        <f t="shared" si="0"/>
        <v>28</v>
      </c>
      <c r="N28" s="14" t="s">
        <v>145</v>
      </c>
      <c r="O28" s="17">
        <v>1.64</v>
      </c>
      <c r="P28" s="13" t="s">
        <v>119</v>
      </c>
      <c r="Q28" s="13">
        <v>0.161</v>
      </c>
    </row>
    <row r="29" spans="2:13" ht="15">
      <c r="B29" s="31" t="s">
        <v>108</v>
      </c>
      <c r="M29" s="19">
        <f t="shared" si="0"/>
        <v>29</v>
      </c>
    </row>
    <row r="30" spans="13:16" ht="15">
      <c r="M30" s="19">
        <f t="shared" si="0"/>
        <v>30</v>
      </c>
      <c r="N30" s="26" t="s">
        <v>90</v>
      </c>
      <c r="O30" s="28" t="s">
        <v>92</v>
      </c>
      <c r="P30" s="26">
        <f>C7/1000</f>
        <v>1.23</v>
      </c>
    </row>
    <row r="31" spans="13:16" ht="15">
      <c r="M31" s="19">
        <f t="shared" si="0"/>
        <v>31</v>
      </c>
      <c r="N31" s="26" t="s">
        <v>91</v>
      </c>
      <c r="O31" s="28" t="s">
        <v>93</v>
      </c>
      <c r="P31" s="26">
        <f>C8/1000</f>
        <v>1.48</v>
      </c>
    </row>
    <row r="32" spans="13:16" ht="15">
      <c r="M32" s="19">
        <f t="shared" si="0"/>
        <v>32</v>
      </c>
      <c r="N32" s="27" t="s">
        <v>75</v>
      </c>
      <c r="O32" s="20" t="s">
        <v>70</v>
      </c>
      <c r="P32" s="21">
        <f>VLOOKUP(C12,N3:Q11,4,FALSE)</f>
        <v>0.124</v>
      </c>
    </row>
    <row r="33" spans="13:18" ht="15">
      <c r="M33" s="19">
        <f t="shared" si="0"/>
        <v>33</v>
      </c>
      <c r="N33" s="27" t="s">
        <v>77</v>
      </c>
      <c r="O33" s="20" t="s">
        <v>71</v>
      </c>
      <c r="P33" s="21">
        <f>VLOOKUP(C13,N14:Q28,4,FALSE)</f>
        <v>0</v>
      </c>
      <c r="R33" s="12"/>
    </row>
    <row r="34" spans="13:20" ht="15">
      <c r="M34" s="19">
        <f t="shared" si="0"/>
        <v>34</v>
      </c>
      <c r="N34" s="27" t="s">
        <v>76</v>
      </c>
      <c r="O34" s="20" t="s">
        <v>72</v>
      </c>
      <c r="P34" s="24">
        <f>(P30*P32*2)+((P31-2*P32)*P32*2)</f>
        <v>0.610576</v>
      </c>
      <c r="S34" s="25"/>
      <c r="T34" s="25"/>
    </row>
    <row r="35" spans="13:16" ht="15">
      <c r="M35" s="19">
        <f t="shared" si="0"/>
        <v>35</v>
      </c>
      <c r="N35" s="27" t="s">
        <v>78</v>
      </c>
      <c r="O35" s="20" t="s">
        <v>73</v>
      </c>
      <c r="P35" s="24">
        <f>((P31-P32*2)*P33)*C10</f>
        <v>0</v>
      </c>
    </row>
    <row r="36" spans="13:16" ht="15">
      <c r="M36" s="19">
        <f t="shared" si="0"/>
        <v>36</v>
      </c>
      <c r="N36" s="27" t="s">
        <v>79</v>
      </c>
      <c r="O36" s="20" t="s">
        <v>74</v>
      </c>
      <c r="P36" s="24">
        <f>((P30-(P32*2)-(C10*P33))*P33)*C11</f>
        <v>0</v>
      </c>
    </row>
    <row r="37" spans="13:17" ht="15">
      <c r="M37" s="19">
        <f t="shared" si="0"/>
        <v>37</v>
      </c>
      <c r="N37" s="27" t="s">
        <v>80</v>
      </c>
      <c r="O37" s="20" t="s">
        <v>72</v>
      </c>
      <c r="P37" s="24">
        <f>P34+P35+P36</f>
        <v>0.610576</v>
      </c>
      <c r="Q37" s="1"/>
    </row>
    <row r="38" spans="13:16" ht="15">
      <c r="M38" s="19">
        <f t="shared" si="0"/>
        <v>38</v>
      </c>
      <c r="N38" s="27" t="s">
        <v>82</v>
      </c>
      <c r="O38" s="20" t="s">
        <v>81</v>
      </c>
      <c r="P38" s="24">
        <f>(P30*P31)-P37</f>
        <v>1.209824</v>
      </c>
    </row>
    <row r="39" spans="13:16" ht="15">
      <c r="M39" s="19">
        <f t="shared" si="0"/>
        <v>39</v>
      </c>
      <c r="N39" s="27" t="s">
        <v>83</v>
      </c>
      <c r="O39" s="20" t="s">
        <v>9</v>
      </c>
      <c r="P39" s="24">
        <f>P30*P31</f>
        <v>1.8204</v>
      </c>
    </row>
    <row r="40" spans="13:16" ht="15">
      <c r="M40" s="19">
        <f t="shared" si="0"/>
        <v>40</v>
      </c>
      <c r="N40" s="26" t="s">
        <v>85</v>
      </c>
      <c r="O40" s="20" t="s">
        <v>84</v>
      </c>
      <c r="P40" s="22">
        <f>VLOOKUP(C12,N3:Q11,2,FALSE)</f>
        <v>1.51</v>
      </c>
    </row>
    <row r="41" spans="13:16" ht="15">
      <c r="M41" s="19">
        <f t="shared" si="0"/>
        <v>41</v>
      </c>
      <c r="N41" s="26" t="s">
        <v>86</v>
      </c>
      <c r="O41" s="20" t="s">
        <v>87</v>
      </c>
      <c r="P41" s="23">
        <f>VLOOKUP(C13,N14:Q28,2,FALSE)</f>
        <v>0</v>
      </c>
    </row>
    <row r="42" spans="13:16" ht="15">
      <c r="M42" s="19">
        <f t="shared" si="0"/>
        <v>42</v>
      </c>
      <c r="N42" s="26" t="s">
        <v>88</v>
      </c>
      <c r="O42" s="20" t="s">
        <v>89</v>
      </c>
      <c r="P42" s="21">
        <f>C9</f>
        <v>1</v>
      </c>
    </row>
    <row r="43" spans="13:16" ht="15">
      <c r="M43" s="19">
        <f t="shared" si="0"/>
        <v>43</v>
      </c>
      <c r="N43" s="26" t="s">
        <v>95</v>
      </c>
      <c r="O43" s="20" t="s">
        <v>2</v>
      </c>
      <c r="P43" s="23">
        <f>VLOOKUP(C14,N52:O54,2,FALSE)</f>
        <v>0.032</v>
      </c>
    </row>
    <row r="44" spans="13:16" ht="15">
      <c r="M44" s="19">
        <f t="shared" si="0"/>
        <v>44</v>
      </c>
      <c r="N44" s="26" t="s">
        <v>94</v>
      </c>
      <c r="O44" s="20" t="s">
        <v>1</v>
      </c>
      <c r="P44" s="23">
        <f>P43</f>
        <v>0.032</v>
      </c>
    </row>
    <row r="45" spans="13:16" ht="15">
      <c r="M45" s="19">
        <f t="shared" si="0"/>
        <v>45</v>
      </c>
      <c r="N45" s="26" t="s">
        <v>96</v>
      </c>
      <c r="O45" s="20" t="s">
        <v>5</v>
      </c>
      <c r="P45" s="24">
        <f>(P30-P32*2-P33*C10)*2+(P31-P32*2-P33*C11)*2</f>
        <v>4.428</v>
      </c>
    </row>
    <row r="46" spans="13:16" ht="15">
      <c r="M46" s="19">
        <f t="shared" si="0"/>
        <v>46</v>
      </c>
      <c r="N46" s="26" t="s">
        <v>97</v>
      </c>
      <c r="O46" s="20" t="s">
        <v>6</v>
      </c>
      <c r="P46" s="24">
        <f>((P31-2*P32)*2)*C10</f>
        <v>0</v>
      </c>
    </row>
    <row r="47" spans="13:16" ht="15">
      <c r="M47" s="19">
        <f t="shared" si="0"/>
        <v>47</v>
      </c>
      <c r="N47" s="26" t="s">
        <v>98</v>
      </c>
      <c r="O47" s="28" t="s">
        <v>99</v>
      </c>
      <c r="P47" s="24">
        <f>((P30-2*P32-C10*P33)*2)*C11</f>
        <v>0</v>
      </c>
    </row>
    <row r="48" spans="14:16" ht="15">
      <c r="N48" s="26" t="s">
        <v>100</v>
      </c>
      <c r="O48" s="28" t="s">
        <v>101</v>
      </c>
      <c r="P48" s="29">
        <f>P45+P46+P47</f>
        <v>4.428</v>
      </c>
    </row>
    <row r="49" spans="14:16" ht="15">
      <c r="N49" s="26" t="s">
        <v>107</v>
      </c>
      <c r="O49" s="28" t="s">
        <v>55</v>
      </c>
      <c r="P49" s="12">
        <f>(P40*P34+P41*P35+P41*P36+P42*P38+P43*P45+P44*P46+P44*P47)/P39</f>
        <v>1.2488957152274225</v>
      </c>
    </row>
    <row r="51" spans="14:15" ht="15.75">
      <c r="N51" s="34" t="s">
        <v>109</v>
      </c>
      <c r="O51" s="16" t="s">
        <v>21</v>
      </c>
    </row>
    <row r="52" spans="14:15" ht="15">
      <c r="N52" s="13" t="s">
        <v>110</v>
      </c>
      <c r="O52" s="13">
        <v>0.07</v>
      </c>
    </row>
    <row r="53" spans="14:15" ht="15">
      <c r="N53" s="13" t="s">
        <v>224</v>
      </c>
      <c r="O53" s="13">
        <v>0.04</v>
      </c>
    </row>
    <row r="54" spans="14:15" ht="15">
      <c r="N54" s="13" t="s">
        <v>225</v>
      </c>
      <c r="O54" s="13">
        <v>0.032</v>
      </c>
    </row>
  </sheetData>
  <sheetProtection/>
  <mergeCells count="4">
    <mergeCell ref="B2:K2"/>
    <mergeCell ref="B3:K3"/>
    <mergeCell ref="B4:K4"/>
    <mergeCell ref="B5:K5"/>
  </mergeCells>
  <dataValidations count="3">
    <dataValidation type="list" allowBlank="1" showInputMessage="1" showErrorMessage="1" promptTitle="Skrzydło" prompt="Wybierz z listy" sqref="C13">
      <formula1>$N$14:$N$28</formula1>
    </dataValidation>
    <dataValidation type="list" allowBlank="1" showInputMessage="1" showErrorMessage="1" promptTitle="Rama" prompt="Wybierz z listy" sqref="C12">
      <formula1>$N$3:$N$11</formula1>
    </dataValidation>
    <dataValidation type="list" allowBlank="1" showInputMessage="1" showErrorMessage="1" promptTitle="Ramak" prompt="Wybierz z listy" sqref="C14">
      <formula1>$N$52:$N$54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4"/>
  <drawing r:id="rId3"/>
  <legacyDrawing r:id="rId2"/>
  <oleObjects>
    <oleObject progId="Dokument" shapeId="66258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1:T53"/>
  <sheetViews>
    <sheetView zoomScale="90" zoomScaleNormal="90" zoomScalePageLayoutView="0" workbookViewId="0" topLeftCell="A1">
      <selection activeCell="E33" sqref="E33"/>
    </sheetView>
  </sheetViews>
  <sheetFormatPr defaultColWidth="9.00390625" defaultRowHeight="12.75"/>
  <cols>
    <col min="1" max="1" width="9.125" style="2" customWidth="1"/>
    <col min="2" max="2" width="20.00390625" style="2" bestFit="1" customWidth="1"/>
    <col min="3" max="3" width="17.875" style="2" bestFit="1" customWidth="1"/>
    <col min="4" max="4" width="10.375" style="3" bestFit="1" customWidth="1"/>
    <col min="5" max="5" width="6.25390625" style="2" bestFit="1" customWidth="1"/>
    <col min="6" max="6" width="6.875" style="2" bestFit="1" customWidth="1"/>
    <col min="7" max="7" width="7.75390625" style="2" bestFit="1" customWidth="1"/>
    <col min="8" max="8" width="7.375" style="2" bestFit="1" customWidth="1"/>
    <col min="9" max="9" width="4.125" style="2" bestFit="1" customWidth="1"/>
    <col min="10" max="10" width="7.00390625" style="2" bestFit="1" customWidth="1"/>
    <col min="11" max="11" width="9.75390625" style="2" bestFit="1" customWidth="1"/>
    <col min="12" max="12" width="9.125" style="2" customWidth="1"/>
    <col min="13" max="13" width="9.125" style="19" hidden="1" customWidth="1"/>
    <col min="14" max="14" width="24.125" style="12" hidden="1" customWidth="1"/>
    <col min="15" max="17" width="9.125" style="12" hidden="1" customWidth="1"/>
    <col min="18" max="18" width="14.125" style="1" customWidth="1"/>
    <col min="19" max="16384" width="9.125" style="1" customWidth="1"/>
  </cols>
  <sheetData>
    <row r="1" spans="13:17" ht="15.75">
      <c r="M1" s="19">
        <v>1</v>
      </c>
      <c r="N1" s="15" t="s">
        <v>12</v>
      </c>
      <c r="O1" s="15" t="s">
        <v>56</v>
      </c>
      <c r="P1" s="16" t="s">
        <v>21</v>
      </c>
      <c r="Q1" s="15" t="s">
        <v>22</v>
      </c>
    </row>
    <row r="2" spans="2:14" ht="15.75">
      <c r="B2" s="68" t="s">
        <v>147</v>
      </c>
      <c r="C2" s="68"/>
      <c r="D2" s="68"/>
      <c r="E2" s="68"/>
      <c r="F2" s="68"/>
      <c r="G2" s="68"/>
      <c r="H2" s="68"/>
      <c r="I2" s="68"/>
      <c r="J2" s="68"/>
      <c r="K2" s="68"/>
      <c r="M2" s="19">
        <f>M1+1</f>
        <v>2</v>
      </c>
      <c r="N2" s="18" t="s">
        <v>46</v>
      </c>
    </row>
    <row r="3" spans="2:17" ht="15.75">
      <c r="B3" s="68" t="s">
        <v>10</v>
      </c>
      <c r="C3" s="68"/>
      <c r="D3" s="68"/>
      <c r="E3" s="68"/>
      <c r="F3" s="68"/>
      <c r="G3" s="68"/>
      <c r="H3" s="68"/>
      <c r="I3" s="68"/>
      <c r="J3" s="68"/>
      <c r="K3" s="68"/>
      <c r="M3" s="19">
        <f aca="true" t="shared" si="0" ref="M3:M47">M2+1</f>
        <v>3</v>
      </c>
      <c r="N3" s="57" t="s">
        <v>230</v>
      </c>
      <c r="O3" s="55" t="s">
        <v>238</v>
      </c>
      <c r="P3" s="13"/>
      <c r="Q3" s="50">
        <v>0.091</v>
      </c>
    </row>
    <row r="4" spans="2:17" ht="15.75">
      <c r="B4" s="69" t="s">
        <v>203</v>
      </c>
      <c r="C4" s="69"/>
      <c r="D4" s="69"/>
      <c r="E4" s="69"/>
      <c r="F4" s="69"/>
      <c r="G4" s="69"/>
      <c r="H4" s="69"/>
      <c r="I4" s="69"/>
      <c r="J4" s="69"/>
      <c r="K4" s="69"/>
      <c r="M4" s="19">
        <f t="shared" si="0"/>
        <v>4</v>
      </c>
      <c r="N4" s="58" t="s">
        <v>231</v>
      </c>
      <c r="O4" s="55">
        <v>1.5</v>
      </c>
      <c r="P4" s="13"/>
      <c r="Q4" s="13">
        <v>0.116</v>
      </c>
    </row>
    <row r="5" spans="2:17" ht="15">
      <c r="B5" s="70"/>
      <c r="C5" s="70"/>
      <c r="D5" s="70"/>
      <c r="E5" s="70"/>
      <c r="F5" s="70"/>
      <c r="G5" s="70"/>
      <c r="H5" s="70"/>
      <c r="I5" s="70"/>
      <c r="J5" s="70"/>
      <c r="K5" s="70"/>
      <c r="M5" s="19">
        <f t="shared" si="0"/>
        <v>5</v>
      </c>
      <c r="N5" s="54"/>
      <c r="O5" s="55"/>
      <c r="P5" s="13"/>
      <c r="Q5" s="13"/>
    </row>
    <row r="6" spans="13:17" ht="15">
      <c r="M6" s="19">
        <f t="shared" si="0"/>
        <v>6</v>
      </c>
      <c r="N6" s="54"/>
      <c r="O6" s="55"/>
      <c r="P6" s="13"/>
      <c r="Q6" s="13"/>
    </row>
    <row r="7" spans="2:17" ht="15.75">
      <c r="B7" s="4" t="s">
        <v>7</v>
      </c>
      <c r="C7" s="10">
        <v>600</v>
      </c>
      <c r="D7" s="2" t="s">
        <v>0</v>
      </c>
      <c r="E7" s="5" t="s">
        <v>51</v>
      </c>
      <c r="F7" s="8" t="str">
        <f>P38</f>
        <v>1,50</v>
      </c>
      <c r="G7" s="7" t="s">
        <v>4</v>
      </c>
      <c r="I7" s="5" t="s">
        <v>114</v>
      </c>
      <c r="J7" s="2">
        <f>P41</f>
        <v>0.04</v>
      </c>
      <c r="K7" s="6" t="s">
        <v>105</v>
      </c>
      <c r="M7" s="19">
        <f t="shared" si="0"/>
        <v>7</v>
      </c>
      <c r="N7" s="13"/>
      <c r="O7" s="55"/>
      <c r="P7" s="13"/>
      <c r="Q7" s="13"/>
    </row>
    <row r="8" spans="2:17" ht="15.75">
      <c r="B8" s="4" t="s">
        <v>8</v>
      </c>
      <c r="C8" s="10">
        <v>600</v>
      </c>
      <c r="D8" s="2" t="s">
        <v>0</v>
      </c>
      <c r="E8" s="5" t="s">
        <v>52</v>
      </c>
      <c r="F8" s="8">
        <f>P39</f>
        <v>0</v>
      </c>
      <c r="G8" s="7" t="s">
        <v>4</v>
      </c>
      <c r="I8" s="5" t="s">
        <v>101</v>
      </c>
      <c r="J8" s="30">
        <f>P46</f>
        <v>1.672</v>
      </c>
      <c r="K8" s="6" t="s">
        <v>106</v>
      </c>
      <c r="M8" s="19">
        <f t="shared" si="0"/>
        <v>8</v>
      </c>
      <c r="N8" s="56"/>
      <c r="O8" s="55"/>
      <c r="P8" s="13"/>
      <c r="Q8" s="13"/>
    </row>
    <row r="9" spans="2:17" ht="15.75">
      <c r="B9" s="4" t="s">
        <v>3</v>
      </c>
      <c r="C9" s="35">
        <v>0.5</v>
      </c>
      <c r="D9" s="7" t="s">
        <v>4</v>
      </c>
      <c r="E9" s="5" t="s">
        <v>53</v>
      </c>
      <c r="F9" s="8">
        <f>P32</f>
        <v>0.185276</v>
      </c>
      <c r="G9" s="2" t="s">
        <v>102</v>
      </c>
      <c r="I9" s="5"/>
      <c r="J9" s="30"/>
      <c r="K9" s="6"/>
      <c r="M9" s="19">
        <f t="shared" si="0"/>
        <v>9</v>
      </c>
      <c r="N9" s="56"/>
      <c r="O9" s="55"/>
      <c r="P9" s="13"/>
      <c r="Q9" s="13"/>
    </row>
    <row r="10" spans="2:17" ht="15.75">
      <c r="B10" s="4" t="s">
        <v>68</v>
      </c>
      <c r="C10" s="11">
        <v>0</v>
      </c>
      <c r="D10" s="7"/>
      <c r="E10" s="5" t="s">
        <v>54</v>
      </c>
      <c r="F10" s="8">
        <f>P33+P34</f>
        <v>0</v>
      </c>
      <c r="G10" s="2" t="s">
        <v>102</v>
      </c>
      <c r="M10" s="19">
        <f t="shared" si="0"/>
        <v>10</v>
      </c>
      <c r="N10" s="54"/>
      <c r="O10" s="54"/>
      <c r="P10" s="13"/>
      <c r="Q10" s="13"/>
    </row>
    <row r="11" spans="2:17" ht="15.75">
      <c r="B11" s="4" t="s">
        <v>69</v>
      </c>
      <c r="C11" s="11">
        <v>0</v>
      </c>
      <c r="D11" s="7"/>
      <c r="E11" s="5" t="s">
        <v>103</v>
      </c>
      <c r="F11" s="36">
        <f>P40</f>
        <v>0.5</v>
      </c>
      <c r="G11" s="7" t="s">
        <v>4</v>
      </c>
      <c r="M11" s="19">
        <f t="shared" si="0"/>
        <v>11</v>
      </c>
      <c r="N11" s="54"/>
      <c r="O11" s="54"/>
      <c r="P11" s="13"/>
      <c r="Q11" s="50"/>
    </row>
    <row r="12" spans="2:13" ht="15.75">
      <c r="B12" s="4" t="s">
        <v>48</v>
      </c>
      <c r="C12" s="67" t="s">
        <v>230</v>
      </c>
      <c r="D12" s="2"/>
      <c r="E12" s="5" t="s">
        <v>104</v>
      </c>
      <c r="F12" s="8">
        <f>P36</f>
        <v>0.174724</v>
      </c>
      <c r="G12" s="2" t="s">
        <v>102</v>
      </c>
      <c r="M12" s="19">
        <f t="shared" si="0"/>
        <v>12</v>
      </c>
    </row>
    <row r="13" spans="2:17" ht="15.75">
      <c r="B13" s="4" t="s">
        <v>49</v>
      </c>
      <c r="C13" s="67">
        <v>0</v>
      </c>
      <c r="D13" s="2"/>
      <c r="M13" s="19">
        <f t="shared" si="0"/>
        <v>13</v>
      </c>
      <c r="N13" s="14">
        <v>0</v>
      </c>
      <c r="O13" s="17">
        <v>0</v>
      </c>
      <c r="P13" s="13"/>
      <c r="Q13" s="13">
        <v>0</v>
      </c>
    </row>
    <row r="14" spans="2:17" ht="15.75">
      <c r="B14" s="32" t="s">
        <v>113</v>
      </c>
      <c r="C14" s="11" t="s">
        <v>111</v>
      </c>
      <c r="D14" s="2"/>
      <c r="M14" s="19">
        <f t="shared" si="0"/>
        <v>14</v>
      </c>
      <c r="N14" s="14" t="s">
        <v>232</v>
      </c>
      <c r="O14" s="17">
        <v>1.5</v>
      </c>
      <c r="P14" s="13"/>
      <c r="Q14" s="13">
        <v>0.159</v>
      </c>
    </row>
    <row r="15" spans="4:17" ht="15">
      <c r="D15" s="2"/>
      <c r="M15" s="19">
        <f t="shared" si="0"/>
        <v>15</v>
      </c>
      <c r="N15" s="14" t="s">
        <v>233</v>
      </c>
      <c r="O15" s="17">
        <v>1.5</v>
      </c>
      <c r="P15" s="13"/>
      <c r="Q15" s="13">
        <v>0.159</v>
      </c>
    </row>
    <row r="16" spans="13:17" ht="15">
      <c r="M16" s="19">
        <f t="shared" si="0"/>
        <v>16</v>
      </c>
      <c r="N16" s="59" t="s">
        <v>234</v>
      </c>
      <c r="O16" s="17">
        <v>1.5</v>
      </c>
      <c r="P16" s="13"/>
      <c r="Q16" s="13">
        <v>0.159</v>
      </c>
    </row>
    <row r="17" spans="4:17" ht="15">
      <c r="D17" s="9"/>
      <c r="M17" s="19">
        <f t="shared" si="0"/>
        <v>17</v>
      </c>
      <c r="N17" s="14" t="s">
        <v>235</v>
      </c>
      <c r="O17" s="17">
        <v>1.5</v>
      </c>
      <c r="P17" s="13"/>
      <c r="Q17" s="13">
        <v>0.209</v>
      </c>
    </row>
    <row r="18" spans="4:17" ht="15">
      <c r="D18" s="9"/>
      <c r="M18" s="19">
        <f t="shared" si="0"/>
        <v>18</v>
      </c>
      <c r="N18" s="14" t="s">
        <v>236</v>
      </c>
      <c r="O18" s="17">
        <v>1.5</v>
      </c>
      <c r="P18" s="13"/>
      <c r="Q18" s="13">
        <v>0.209</v>
      </c>
    </row>
    <row r="19" spans="4:17" ht="15">
      <c r="D19" s="9"/>
      <c r="M19" s="19">
        <f t="shared" si="0"/>
        <v>19</v>
      </c>
      <c r="N19" s="59" t="s">
        <v>237</v>
      </c>
      <c r="O19" s="17">
        <v>1.5</v>
      </c>
      <c r="P19" s="13"/>
      <c r="Q19" s="13">
        <v>0.209</v>
      </c>
    </row>
    <row r="20" spans="4:17" ht="15">
      <c r="D20" s="9"/>
      <c r="M20" s="19">
        <f t="shared" si="0"/>
        <v>20</v>
      </c>
      <c r="N20" s="14"/>
      <c r="O20" s="17"/>
      <c r="P20" s="13"/>
      <c r="Q20" s="13"/>
    </row>
    <row r="21" spans="4:17" ht="15">
      <c r="D21" s="9"/>
      <c r="M21" s="19">
        <f t="shared" si="0"/>
        <v>21</v>
      </c>
      <c r="N21" s="14"/>
      <c r="O21" s="17"/>
      <c r="P21" s="13"/>
      <c r="Q21" s="13"/>
    </row>
    <row r="22" spans="4:17" ht="15">
      <c r="D22" s="9"/>
      <c r="M22" s="19">
        <f t="shared" si="0"/>
        <v>22</v>
      </c>
      <c r="N22" s="14"/>
      <c r="O22" s="17"/>
      <c r="P22" s="13"/>
      <c r="Q22" s="13"/>
    </row>
    <row r="23" spans="4:17" ht="15">
      <c r="D23" s="9"/>
      <c r="M23" s="19">
        <f t="shared" si="0"/>
        <v>23</v>
      </c>
      <c r="N23" s="14"/>
      <c r="O23" s="17"/>
      <c r="P23" s="13"/>
      <c r="Q23" s="13"/>
    </row>
    <row r="24" spans="4:17" ht="15">
      <c r="D24" s="9"/>
      <c r="M24" s="19">
        <f t="shared" si="0"/>
        <v>24</v>
      </c>
      <c r="N24" s="14"/>
      <c r="O24" s="17"/>
      <c r="P24" s="13"/>
      <c r="Q24" s="13"/>
    </row>
    <row r="25" spans="4:17" ht="15">
      <c r="D25" s="9"/>
      <c r="M25" s="19">
        <f t="shared" si="0"/>
        <v>25</v>
      </c>
      <c r="N25" s="14"/>
      <c r="O25" s="17"/>
      <c r="P25" s="13"/>
      <c r="Q25" s="13"/>
    </row>
    <row r="26" spans="13:17" ht="15.75" thickBot="1">
      <c r="M26" s="19">
        <f t="shared" si="0"/>
        <v>26</v>
      </c>
      <c r="N26" s="51"/>
      <c r="O26" s="52"/>
      <c r="P26" s="51"/>
      <c r="Q26" s="51"/>
    </row>
    <row r="27" spans="5:17" ht="19.5" thickBot="1" thickTop="1">
      <c r="E27" s="60" t="s">
        <v>55</v>
      </c>
      <c r="F27" s="61">
        <f>P47</f>
        <v>1.2004333333333332</v>
      </c>
      <c r="G27" s="62" t="s">
        <v>4</v>
      </c>
      <c r="H27" s="63"/>
      <c r="M27" s="19">
        <f t="shared" si="0"/>
        <v>27</v>
      </c>
      <c r="N27" s="51"/>
      <c r="O27" s="51"/>
      <c r="P27" s="51"/>
      <c r="Q27" s="51"/>
    </row>
    <row r="28" spans="13:16" ht="15.75" thickTop="1">
      <c r="M28" s="19">
        <f t="shared" si="0"/>
        <v>28</v>
      </c>
      <c r="N28" s="26" t="s">
        <v>90</v>
      </c>
      <c r="O28" s="28" t="s">
        <v>92</v>
      </c>
      <c r="P28" s="26">
        <f>C7/1000</f>
        <v>0.6</v>
      </c>
    </row>
    <row r="29" spans="2:16" ht="15">
      <c r="B29" s="31" t="s">
        <v>108</v>
      </c>
      <c r="M29" s="19">
        <f t="shared" si="0"/>
        <v>29</v>
      </c>
      <c r="N29" s="26" t="s">
        <v>91</v>
      </c>
      <c r="O29" s="28" t="s">
        <v>93</v>
      </c>
      <c r="P29" s="26">
        <f>C8/1000</f>
        <v>0.6</v>
      </c>
    </row>
    <row r="30" spans="13:16" ht="15">
      <c r="M30" s="19">
        <f t="shared" si="0"/>
        <v>30</v>
      </c>
      <c r="N30" s="27" t="s">
        <v>75</v>
      </c>
      <c r="O30" s="20" t="s">
        <v>70</v>
      </c>
      <c r="P30" s="21">
        <f>VLOOKUP(C12,N3:Q11,4,FALSE)</f>
        <v>0.091</v>
      </c>
    </row>
    <row r="31" spans="13:16" ht="15">
      <c r="M31" s="19">
        <f t="shared" si="0"/>
        <v>31</v>
      </c>
      <c r="N31" s="27" t="s">
        <v>77</v>
      </c>
      <c r="O31" s="20" t="s">
        <v>71</v>
      </c>
      <c r="P31" s="21">
        <f>VLOOKUP(C13,N13:Q27,4,FALSE)</f>
        <v>0</v>
      </c>
    </row>
    <row r="32" spans="13:16" ht="15">
      <c r="M32" s="19">
        <f t="shared" si="0"/>
        <v>32</v>
      </c>
      <c r="N32" s="27" t="s">
        <v>76</v>
      </c>
      <c r="O32" s="20" t="s">
        <v>72</v>
      </c>
      <c r="P32" s="24">
        <f>(P28*P30*2)+((P29-2*P30)*P30*2)</f>
        <v>0.185276</v>
      </c>
    </row>
    <row r="33" spans="13:18" ht="15">
      <c r="M33" s="19">
        <f t="shared" si="0"/>
        <v>33</v>
      </c>
      <c r="N33" s="27" t="s">
        <v>78</v>
      </c>
      <c r="O33" s="20" t="s">
        <v>73</v>
      </c>
      <c r="P33" s="24">
        <f>((P29-P30*2)*P31)*C10</f>
        <v>0</v>
      </c>
      <c r="R33" s="12"/>
    </row>
    <row r="34" spans="13:20" ht="15">
      <c r="M34" s="19">
        <f t="shared" si="0"/>
        <v>34</v>
      </c>
      <c r="N34" s="27" t="s">
        <v>79</v>
      </c>
      <c r="O34" s="20" t="s">
        <v>74</v>
      </c>
      <c r="P34" s="24">
        <f>((P28-(P30*2)-(C10*P31))*P31)*C11</f>
        <v>0</v>
      </c>
      <c r="S34" s="25"/>
      <c r="T34" s="25"/>
    </row>
    <row r="35" spans="13:17" ht="15">
      <c r="M35" s="19">
        <f t="shared" si="0"/>
        <v>35</v>
      </c>
      <c r="N35" s="27" t="s">
        <v>80</v>
      </c>
      <c r="O35" s="20" t="s">
        <v>72</v>
      </c>
      <c r="P35" s="24">
        <f>P32+P33+P34</f>
        <v>0.185276</v>
      </c>
      <c r="Q35" s="1"/>
    </row>
    <row r="36" spans="13:16" ht="15">
      <c r="M36" s="19">
        <f t="shared" si="0"/>
        <v>36</v>
      </c>
      <c r="N36" s="27" t="s">
        <v>82</v>
      </c>
      <c r="O36" s="20" t="s">
        <v>81</v>
      </c>
      <c r="P36" s="24">
        <f>(P28*P29)-P35</f>
        <v>0.174724</v>
      </c>
    </row>
    <row r="37" spans="13:16" ht="15">
      <c r="M37" s="19">
        <f t="shared" si="0"/>
        <v>37</v>
      </c>
      <c r="N37" s="27" t="s">
        <v>83</v>
      </c>
      <c r="O37" s="20" t="s">
        <v>9</v>
      </c>
      <c r="P37" s="24">
        <f>P28*P29</f>
        <v>0.36</v>
      </c>
    </row>
    <row r="38" spans="13:16" ht="15">
      <c r="M38" s="19">
        <f t="shared" si="0"/>
        <v>38</v>
      </c>
      <c r="N38" s="26" t="s">
        <v>85</v>
      </c>
      <c r="O38" s="20" t="s">
        <v>84</v>
      </c>
      <c r="P38" s="22" t="str">
        <f>VLOOKUP(C12,N3:Q11,2,FALSE)</f>
        <v>1,50</v>
      </c>
    </row>
    <row r="39" spans="13:16" ht="15">
      <c r="M39" s="19">
        <f t="shared" si="0"/>
        <v>39</v>
      </c>
      <c r="N39" s="26" t="s">
        <v>86</v>
      </c>
      <c r="O39" s="20" t="s">
        <v>87</v>
      </c>
      <c r="P39" s="22">
        <f>VLOOKUP(C13,N13:Q27,2,FALSE)</f>
        <v>0</v>
      </c>
    </row>
    <row r="40" spans="13:16" ht="15">
      <c r="M40" s="19">
        <f t="shared" si="0"/>
        <v>40</v>
      </c>
      <c r="N40" s="26" t="s">
        <v>88</v>
      </c>
      <c r="O40" s="20" t="s">
        <v>89</v>
      </c>
      <c r="P40" s="21">
        <f>C9</f>
        <v>0.5</v>
      </c>
    </row>
    <row r="41" spans="13:16" ht="15">
      <c r="M41" s="19">
        <f t="shared" si="0"/>
        <v>41</v>
      </c>
      <c r="N41" s="26" t="s">
        <v>95</v>
      </c>
      <c r="O41" s="20" t="s">
        <v>2</v>
      </c>
      <c r="P41" s="23">
        <f>VLOOKUP(C14,N50:O51,2)</f>
        <v>0.04</v>
      </c>
    </row>
    <row r="42" spans="13:16" ht="15">
      <c r="M42" s="19">
        <f t="shared" si="0"/>
        <v>42</v>
      </c>
      <c r="N42" s="26" t="s">
        <v>94</v>
      </c>
      <c r="O42" s="20" t="s">
        <v>1</v>
      </c>
      <c r="P42" s="23">
        <f>P41</f>
        <v>0.04</v>
      </c>
    </row>
    <row r="43" spans="13:16" ht="15">
      <c r="M43" s="19">
        <f t="shared" si="0"/>
        <v>43</v>
      </c>
      <c r="N43" s="26" t="s">
        <v>96</v>
      </c>
      <c r="O43" s="20" t="s">
        <v>5</v>
      </c>
      <c r="P43" s="24">
        <f>(P28-P30*2-P31*C10)*2+(P29-P30*2-P31*C11)*2</f>
        <v>1.672</v>
      </c>
    </row>
    <row r="44" spans="13:16" ht="15">
      <c r="M44" s="19">
        <f t="shared" si="0"/>
        <v>44</v>
      </c>
      <c r="N44" s="26" t="s">
        <v>97</v>
      </c>
      <c r="O44" s="20" t="s">
        <v>6</v>
      </c>
      <c r="P44" s="24">
        <f>((P29-2*P30)*2)*C10</f>
        <v>0</v>
      </c>
    </row>
    <row r="45" spans="13:16" ht="15">
      <c r="M45" s="19">
        <f t="shared" si="0"/>
        <v>45</v>
      </c>
      <c r="N45" s="26" t="s">
        <v>98</v>
      </c>
      <c r="O45" s="28" t="s">
        <v>99</v>
      </c>
      <c r="P45" s="24">
        <f>((P28-2*P30-C10*P31)*2)*C11</f>
        <v>0</v>
      </c>
    </row>
    <row r="46" spans="13:16" ht="15">
      <c r="M46" s="19">
        <f t="shared" si="0"/>
        <v>46</v>
      </c>
      <c r="N46" s="26" t="s">
        <v>100</v>
      </c>
      <c r="O46" s="28" t="s">
        <v>101</v>
      </c>
      <c r="P46" s="29">
        <f>P43+P44+P45</f>
        <v>1.672</v>
      </c>
    </row>
    <row r="47" spans="13:16" ht="15">
      <c r="M47" s="19">
        <f t="shared" si="0"/>
        <v>47</v>
      </c>
      <c r="N47" s="26" t="s">
        <v>107</v>
      </c>
      <c r="O47" s="28" t="s">
        <v>55</v>
      </c>
      <c r="P47" s="12">
        <f>(P38*P32+P39*P33+P39*P34+P40*P36+P41*P43+P42*P44+P42*P45)/P37</f>
        <v>1.2004333333333332</v>
      </c>
    </row>
    <row r="49" spans="14:15" ht="15.75">
      <c r="N49" s="34" t="s">
        <v>109</v>
      </c>
      <c r="O49" s="16" t="s">
        <v>21</v>
      </c>
    </row>
    <row r="50" spans="14:18" ht="15.75">
      <c r="N50" s="13" t="s">
        <v>110</v>
      </c>
      <c r="O50" s="13">
        <v>0.07</v>
      </c>
      <c r="R50" s="33" t="s">
        <v>112</v>
      </c>
    </row>
    <row r="51" spans="14:17" ht="15">
      <c r="N51" s="13" t="s">
        <v>111</v>
      </c>
      <c r="O51" s="13">
        <v>0.04</v>
      </c>
      <c r="Q51"/>
    </row>
    <row r="53" ht="15">
      <c r="N53"/>
    </row>
  </sheetData>
  <sheetProtection/>
  <mergeCells count="4">
    <mergeCell ref="B2:K2"/>
    <mergeCell ref="B3:K3"/>
    <mergeCell ref="B4:K4"/>
    <mergeCell ref="B5:K5"/>
  </mergeCells>
  <dataValidations count="3">
    <dataValidation type="list" allowBlank="1" showInputMessage="1" showErrorMessage="1" promptTitle="Ramka" prompt="Wybierz z listy" sqref="C14">
      <formula1>$N$50:$N$51</formula1>
    </dataValidation>
    <dataValidation type="list" allowBlank="1" showInputMessage="1" showErrorMessage="1" promptTitle="Skrzydło" prompt="Wybierz z listy" sqref="C13">
      <formula1>$N$13:$N$27</formula1>
    </dataValidation>
    <dataValidation type="list" allowBlank="1" showInputMessage="1" showErrorMessage="1" promptTitle="Rama" prompt="Wybierz z listy" sqref="C12">
      <formula1>$N$3:$N$11</formula1>
    </dataValidation>
  </dataValidations>
  <printOptions/>
  <pageMargins left="0.7" right="0.7" top="0.75" bottom="0.75" header="0.3" footer="0.3"/>
  <pageSetup horizontalDpi="300" verticalDpi="300" orientation="portrait" paperSize="9" r:id="rId6"/>
  <drawing r:id="rId5"/>
  <legacyDrawing r:id="rId2"/>
  <oleObjects>
    <oleObject progId="Dokument" shapeId="1578012" r:id="rId1"/>
  </oleObjects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T53"/>
  <sheetViews>
    <sheetView zoomScale="90" zoomScaleNormal="90" zoomScalePageLayoutView="0" workbookViewId="0" topLeftCell="A1">
      <selection activeCell="L13" sqref="L13"/>
    </sheetView>
  </sheetViews>
  <sheetFormatPr defaultColWidth="9.00390625" defaultRowHeight="12.75"/>
  <cols>
    <col min="1" max="1" width="9.125" style="2" customWidth="1"/>
    <col min="2" max="2" width="20.00390625" style="2" bestFit="1" customWidth="1"/>
    <col min="3" max="3" width="17.75390625" style="2" bestFit="1" customWidth="1"/>
    <col min="4" max="4" width="10.375" style="3" bestFit="1" customWidth="1"/>
    <col min="5" max="5" width="6.25390625" style="2" bestFit="1" customWidth="1"/>
    <col min="6" max="6" width="6.75390625" style="2" bestFit="1" customWidth="1"/>
    <col min="7" max="7" width="7.75390625" style="2" bestFit="1" customWidth="1"/>
    <col min="8" max="8" width="7.375" style="2" bestFit="1" customWidth="1"/>
    <col min="9" max="9" width="4.125" style="2" bestFit="1" customWidth="1"/>
    <col min="10" max="10" width="6.375" style="2" bestFit="1" customWidth="1"/>
    <col min="11" max="11" width="9.75390625" style="2" bestFit="1" customWidth="1"/>
    <col min="12" max="12" width="9.125" style="2" customWidth="1"/>
    <col min="13" max="13" width="9.125" style="19" hidden="1" customWidth="1"/>
    <col min="14" max="14" width="24.125" style="12" hidden="1" customWidth="1"/>
    <col min="15" max="17" width="9.125" style="12" hidden="1" customWidth="1"/>
    <col min="18" max="18" width="14.125" style="1" customWidth="1"/>
    <col min="19" max="16384" width="9.125" style="1" customWidth="1"/>
  </cols>
  <sheetData>
    <row r="1" spans="13:17" ht="15.75">
      <c r="M1" s="19">
        <v>1</v>
      </c>
      <c r="N1" s="15" t="s">
        <v>12</v>
      </c>
      <c r="O1" s="15" t="s">
        <v>56</v>
      </c>
      <c r="P1" s="16" t="s">
        <v>21</v>
      </c>
      <c r="Q1" s="15" t="s">
        <v>22</v>
      </c>
    </row>
    <row r="2" spans="2:17" ht="15.75">
      <c r="B2" s="68" t="s">
        <v>147</v>
      </c>
      <c r="C2" s="68"/>
      <c r="D2" s="68"/>
      <c r="E2" s="68"/>
      <c r="F2" s="68"/>
      <c r="G2" s="68"/>
      <c r="H2" s="68"/>
      <c r="I2" s="68"/>
      <c r="J2" s="68"/>
      <c r="K2" s="68"/>
      <c r="M2" s="19">
        <f>M1+1</f>
        <v>2</v>
      </c>
      <c r="N2" s="53" t="s">
        <v>41</v>
      </c>
      <c r="O2" s="17">
        <v>1.39</v>
      </c>
      <c r="P2" s="13"/>
      <c r="Q2" s="13">
        <v>0.114</v>
      </c>
    </row>
    <row r="3" spans="2:17" ht="15.75">
      <c r="B3" s="68" t="s">
        <v>10</v>
      </c>
      <c r="C3" s="68"/>
      <c r="D3" s="68"/>
      <c r="E3" s="68"/>
      <c r="F3" s="68"/>
      <c r="G3" s="68"/>
      <c r="H3" s="68"/>
      <c r="I3" s="68"/>
      <c r="J3" s="68"/>
      <c r="K3" s="68"/>
      <c r="M3" s="19">
        <f aca="true" t="shared" si="0" ref="M3:M47">M2+1</f>
        <v>3</v>
      </c>
      <c r="N3" s="44" t="s">
        <v>38</v>
      </c>
      <c r="O3" s="17">
        <v>1.36</v>
      </c>
      <c r="P3" s="13"/>
      <c r="Q3" s="13">
        <v>0.114</v>
      </c>
    </row>
    <row r="4" spans="2:17" ht="15.75">
      <c r="B4" s="69" t="s">
        <v>24</v>
      </c>
      <c r="C4" s="69"/>
      <c r="D4" s="69"/>
      <c r="E4" s="69"/>
      <c r="F4" s="69"/>
      <c r="G4" s="69"/>
      <c r="H4" s="69"/>
      <c r="I4" s="69"/>
      <c r="J4" s="69"/>
      <c r="K4" s="69"/>
      <c r="M4" s="19">
        <f t="shared" si="0"/>
        <v>4</v>
      </c>
      <c r="N4" s="44" t="s">
        <v>44</v>
      </c>
      <c r="O4" s="17">
        <v>1.4</v>
      </c>
      <c r="P4" s="13"/>
      <c r="Q4" s="13">
        <v>0.114</v>
      </c>
    </row>
    <row r="5" spans="2:17" ht="15">
      <c r="B5" s="70"/>
      <c r="C5" s="70"/>
      <c r="D5" s="70"/>
      <c r="E5" s="70"/>
      <c r="F5" s="70"/>
      <c r="G5" s="70"/>
      <c r="H5" s="70"/>
      <c r="I5" s="70"/>
      <c r="J5" s="70"/>
      <c r="K5" s="70"/>
      <c r="M5" s="19">
        <f t="shared" si="0"/>
        <v>5</v>
      </c>
      <c r="N5" s="45" t="s">
        <v>25</v>
      </c>
      <c r="O5" s="17">
        <v>1.3</v>
      </c>
      <c r="P5" s="13"/>
      <c r="Q5" s="13">
        <v>0.124</v>
      </c>
    </row>
    <row r="6" spans="13:17" ht="15">
      <c r="M6" s="19">
        <f t="shared" si="0"/>
        <v>6</v>
      </c>
      <c r="N6" s="44" t="s">
        <v>26</v>
      </c>
      <c r="O6" s="17">
        <v>1.3</v>
      </c>
      <c r="P6" s="13"/>
      <c r="Q6" s="13">
        <v>0.124</v>
      </c>
    </row>
    <row r="7" spans="2:17" ht="15.75">
      <c r="B7" s="4" t="s">
        <v>7</v>
      </c>
      <c r="C7" s="10">
        <v>1200</v>
      </c>
      <c r="D7" s="2" t="s">
        <v>0</v>
      </c>
      <c r="E7" s="5" t="s">
        <v>51</v>
      </c>
      <c r="F7" s="8">
        <f>P38</f>
        <v>1.36</v>
      </c>
      <c r="G7" s="7" t="s">
        <v>4</v>
      </c>
      <c r="I7" s="5" t="s">
        <v>114</v>
      </c>
      <c r="J7" s="2">
        <f>P41</f>
        <v>0.04</v>
      </c>
      <c r="K7" s="6" t="s">
        <v>105</v>
      </c>
      <c r="M7" s="19">
        <f t="shared" si="0"/>
        <v>7</v>
      </c>
      <c r="N7" s="46" t="s">
        <v>175</v>
      </c>
      <c r="O7" s="17">
        <v>1</v>
      </c>
      <c r="P7" s="13"/>
      <c r="Q7" s="13">
        <v>0.107</v>
      </c>
    </row>
    <row r="8" spans="2:17" ht="15.75">
      <c r="B8" s="4" t="s">
        <v>8</v>
      </c>
      <c r="C8" s="10">
        <v>1480</v>
      </c>
      <c r="D8" s="2" t="s">
        <v>0</v>
      </c>
      <c r="E8" s="5" t="s">
        <v>52</v>
      </c>
      <c r="F8" s="8">
        <f>P39</f>
        <v>0</v>
      </c>
      <c r="G8" s="7" t="s">
        <v>4</v>
      </c>
      <c r="I8" s="5" t="s">
        <v>101</v>
      </c>
      <c r="J8" s="30">
        <f>P46</f>
        <v>4.448</v>
      </c>
      <c r="K8" s="6" t="s">
        <v>106</v>
      </c>
      <c r="M8" s="19">
        <f t="shared" si="0"/>
        <v>8</v>
      </c>
      <c r="N8" s="47" t="s">
        <v>176</v>
      </c>
      <c r="O8" s="17">
        <v>1.1</v>
      </c>
      <c r="P8" s="13"/>
      <c r="Q8" s="13">
        <v>0.119</v>
      </c>
    </row>
    <row r="9" spans="2:17" ht="15.75">
      <c r="B9" s="4" t="s">
        <v>3</v>
      </c>
      <c r="C9" s="35">
        <v>0.7</v>
      </c>
      <c r="D9" s="7" t="s">
        <v>4</v>
      </c>
      <c r="E9" s="5" t="s">
        <v>53</v>
      </c>
      <c r="F9" s="8">
        <f>P32</f>
        <v>0.559056</v>
      </c>
      <c r="G9" s="2" t="s">
        <v>102</v>
      </c>
      <c r="I9" s="5"/>
      <c r="J9" s="30"/>
      <c r="K9" s="6"/>
      <c r="M9" s="19">
        <f t="shared" si="0"/>
        <v>9</v>
      </c>
      <c r="N9" s="49">
        <v>140001</v>
      </c>
      <c r="O9" s="13">
        <v>1.29</v>
      </c>
      <c r="P9" s="13"/>
      <c r="Q9" s="13">
        <v>0.065</v>
      </c>
    </row>
    <row r="10" spans="2:17" ht="15.75">
      <c r="B10" s="4" t="s">
        <v>68</v>
      </c>
      <c r="C10" s="11">
        <v>0</v>
      </c>
      <c r="D10" s="7"/>
      <c r="E10" s="5" t="s">
        <v>54</v>
      </c>
      <c r="F10" s="8">
        <f>P33+P34</f>
        <v>0</v>
      </c>
      <c r="G10" s="2" t="s">
        <v>102</v>
      </c>
      <c r="M10" s="19">
        <f t="shared" si="0"/>
        <v>10</v>
      </c>
      <c r="N10" s="49"/>
      <c r="O10" s="13"/>
      <c r="P10" s="13"/>
      <c r="Q10" s="50"/>
    </row>
    <row r="11" spans="2:17" ht="15.75">
      <c r="B11" s="4" t="s">
        <v>69</v>
      </c>
      <c r="C11" s="11">
        <v>0</v>
      </c>
      <c r="D11" s="7"/>
      <c r="E11" s="5" t="s">
        <v>103</v>
      </c>
      <c r="F11" s="36">
        <f>P40</f>
        <v>0.7</v>
      </c>
      <c r="G11" s="7" t="s">
        <v>4</v>
      </c>
      <c r="M11" s="19">
        <f t="shared" si="0"/>
        <v>11</v>
      </c>
      <c r="N11" s="14">
        <v>0</v>
      </c>
      <c r="O11" s="17">
        <v>0</v>
      </c>
      <c r="P11" s="13"/>
      <c r="Q11" s="13">
        <v>0</v>
      </c>
    </row>
    <row r="12" spans="2:17" ht="15.75">
      <c r="B12" s="4" t="s">
        <v>48</v>
      </c>
      <c r="C12" s="11" t="s">
        <v>38</v>
      </c>
      <c r="D12" s="2"/>
      <c r="E12" s="5" t="s">
        <v>104</v>
      </c>
      <c r="F12" s="8">
        <f>P36</f>
        <v>1.216944</v>
      </c>
      <c r="G12" s="2" t="s">
        <v>102</v>
      </c>
      <c r="M12" s="19">
        <f t="shared" si="0"/>
        <v>12</v>
      </c>
      <c r="N12" s="14" t="s">
        <v>42</v>
      </c>
      <c r="O12" s="17">
        <v>1.38</v>
      </c>
      <c r="P12" s="13"/>
      <c r="Q12" s="13">
        <v>0.182</v>
      </c>
    </row>
    <row r="13" spans="2:17" ht="15.75">
      <c r="B13" s="4" t="s">
        <v>49</v>
      </c>
      <c r="C13" s="11">
        <v>0</v>
      </c>
      <c r="D13" s="2"/>
      <c r="M13" s="19">
        <f t="shared" si="0"/>
        <v>13</v>
      </c>
      <c r="N13" s="14" t="s">
        <v>43</v>
      </c>
      <c r="O13" s="17">
        <v>1.29</v>
      </c>
      <c r="P13" s="13"/>
      <c r="Q13" s="13">
        <v>0.162</v>
      </c>
    </row>
    <row r="14" spans="2:17" ht="15.75">
      <c r="B14" s="32" t="s">
        <v>113</v>
      </c>
      <c r="C14" s="11" t="s">
        <v>111</v>
      </c>
      <c r="D14" s="2"/>
      <c r="M14" s="19">
        <f t="shared" si="0"/>
        <v>14</v>
      </c>
      <c r="N14" s="14" t="s">
        <v>39</v>
      </c>
      <c r="O14" s="17">
        <v>1.36</v>
      </c>
      <c r="P14" s="13"/>
      <c r="Q14" s="13">
        <v>0.182</v>
      </c>
    </row>
    <row r="15" spans="4:17" ht="15">
      <c r="D15" s="2"/>
      <c r="M15" s="19">
        <f t="shared" si="0"/>
        <v>15</v>
      </c>
      <c r="N15" s="14" t="s">
        <v>40</v>
      </c>
      <c r="O15" s="17">
        <v>1.28</v>
      </c>
      <c r="P15" s="13"/>
      <c r="Q15" s="13">
        <v>0.162</v>
      </c>
    </row>
    <row r="16" spans="13:17" ht="15">
      <c r="M16" s="19">
        <f t="shared" si="0"/>
        <v>16</v>
      </c>
      <c r="N16" s="14" t="s">
        <v>27</v>
      </c>
      <c r="O16" s="17">
        <v>1.3</v>
      </c>
      <c r="P16" s="13"/>
      <c r="Q16" s="13">
        <v>0.192</v>
      </c>
    </row>
    <row r="17" spans="4:17" ht="15">
      <c r="D17" s="9"/>
      <c r="M17" s="19">
        <f t="shared" si="0"/>
        <v>17</v>
      </c>
      <c r="N17" s="14" t="s">
        <v>29</v>
      </c>
      <c r="O17" s="17">
        <v>1.3</v>
      </c>
      <c r="P17" s="13"/>
      <c r="Q17" s="13">
        <v>0.172</v>
      </c>
    </row>
    <row r="18" spans="4:17" ht="15">
      <c r="D18" s="9"/>
      <c r="M18" s="19">
        <f t="shared" si="0"/>
        <v>18</v>
      </c>
      <c r="N18" s="14" t="s">
        <v>28</v>
      </c>
      <c r="O18" s="17">
        <v>1.3</v>
      </c>
      <c r="P18" s="13"/>
      <c r="Q18" s="13">
        <v>0.192</v>
      </c>
    </row>
    <row r="19" spans="4:17" ht="15">
      <c r="D19" s="9"/>
      <c r="M19" s="19">
        <f t="shared" si="0"/>
        <v>19</v>
      </c>
      <c r="N19" s="14" t="s">
        <v>30</v>
      </c>
      <c r="O19" s="17">
        <v>1.3</v>
      </c>
      <c r="P19" s="13"/>
      <c r="Q19" s="13">
        <v>0.172</v>
      </c>
    </row>
    <row r="20" spans="4:17" ht="15">
      <c r="D20" s="9"/>
      <c r="M20" s="19">
        <f t="shared" si="0"/>
        <v>20</v>
      </c>
      <c r="N20" s="14" t="s">
        <v>45</v>
      </c>
      <c r="O20" s="17">
        <v>1.42</v>
      </c>
      <c r="P20" s="13"/>
      <c r="Q20" s="13">
        <v>0.182</v>
      </c>
    </row>
    <row r="21" spans="4:17" ht="15">
      <c r="D21" s="9"/>
      <c r="M21" s="19">
        <f t="shared" si="0"/>
        <v>21</v>
      </c>
      <c r="N21" s="14" t="s">
        <v>50</v>
      </c>
      <c r="O21" s="17">
        <v>1.31</v>
      </c>
      <c r="P21" s="13"/>
      <c r="Q21" s="13">
        <v>0.162</v>
      </c>
    </row>
    <row r="22" spans="4:17" ht="15">
      <c r="D22" s="9"/>
      <c r="M22" s="19">
        <f t="shared" si="0"/>
        <v>22</v>
      </c>
      <c r="N22" s="14" t="s">
        <v>177</v>
      </c>
      <c r="O22" s="17">
        <v>1</v>
      </c>
      <c r="P22" s="13"/>
      <c r="Q22" s="51">
        <v>0.158</v>
      </c>
    </row>
    <row r="23" spans="4:17" ht="15">
      <c r="D23" s="9"/>
      <c r="M23" s="19">
        <f t="shared" si="0"/>
        <v>23</v>
      </c>
      <c r="N23" s="14" t="s">
        <v>178</v>
      </c>
      <c r="O23" s="17">
        <v>1</v>
      </c>
      <c r="P23" s="13"/>
      <c r="Q23" s="51">
        <v>0.138</v>
      </c>
    </row>
    <row r="24" spans="4:17" ht="15">
      <c r="D24" s="9"/>
      <c r="M24" s="19">
        <f t="shared" si="0"/>
        <v>24</v>
      </c>
      <c r="N24" s="51" t="s">
        <v>179</v>
      </c>
      <c r="O24" s="52">
        <v>1.1</v>
      </c>
      <c r="P24" s="42"/>
      <c r="Q24" s="51">
        <v>0.182</v>
      </c>
    </row>
    <row r="25" spans="4:17" ht="15">
      <c r="D25" s="9"/>
      <c r="M25" s="19">
        <f t="shared" si="0"/>
        <v>25</v>
      </c>
      <c r="N25" s="51" t="s">
        <v>180</v>
      </c>
      <c r="O25" s="52">
        <v>1.1</v>
      </c>
      <c r="P25" s="13"/>
      <c r="Q25" s="51">
        <v>0.162</v>
      </c>
    </row>
    <row r="26" spans="13:17" ht="15.75" thickBot="1">
      <c r="M26" s="19">
        <f t="shared" si="0"/>
        <v>26</v>
      </c>
      <c r="N26" s="13">
        <v>140041</v>
      </c>
      <c r="O26" s="17">
        <v>1.2</v>
      </c>
      <c r="P26" s="13"/>
      <c r="Q26" s="13">
        <v>0.084</v>
      </c>
    </row>
    <row r="27" spans="5:13" ht="19.5" thickBot="1" thickTop="1">
      <c r="E27" s="60" t="s">
        <v>55</v>
      </c>
      <c r="F27" s="61">
        <f>P47</f>
        <v>1.0079374774774774</v>
      </c>
      <c r="G27" s="62" t="s">
        <v>4</v>
      </c>
      <c r="H27" s="63"/>
      <c r="M27" s="19">
        <f t="shared" si="0"/>
        <v>27</v>
      </c>
    </row>
    <row r="28" spans="13:16" ht="15.75" thickTop="1">
      <c r="M28" s="19">
        <f t="shared" si="0"/>
        <v>28</v>
      </c>
      <c r="N28" s="26" t="s">
        <v>90</v>
      </c>
      <c r="O28" s="28" t="s">
        <v>92</v>
      </c>
      <c r="P28" s="64">
        <f>C7/1000</f>
        <v>1.2</v>
      </c>
    </row>
    <row r="29" spans="2:16" ht="15">
      <c r="B29" s="31" t="s">
        <v>108</v>
      </c>
      <c r="M29" s="19">
        <f t="shared" si="0"/>
        <v>29</v>
      </c>
      <c r="N29" s="26" t="s">
        <v>91</v>
      </c>
      <c r="O29" s="28" t="s">
        <v>93</v>
      </c>
      <c r="P29" s="64">
        <f>C8/1000</f>
        <v>1.48</v>
      </c>
    </row>
    <row r="30" spans="13:16" ht="15">
      <c r="M30" s="19">
        <f t="shared" si="0"/>
        <v>30</v>
      </c>
      <c r="N30" s="27" t="s">
        <v>75</v>
      </c>
      <c r="O30" s="20" t="s">
        <v>70</v>
      </c>
      <c r="P30" s="65">
        <f>VLOOKUP(C12,N2:Q10,4,FALSE)</f>
        <v>0.114</v>
      </c>
    </row>
    <row r="31" spans="13:16" ht="15">
      <c r="M31" s="19">
        <f t="shared" si="0"/>
        <v>31</v>
      </c>
      <c r="N31" s="27" t="s">
        <v>77</v>
      </c>
      <c r="O31" s="20" t="s">
        <v>71</v>
      </c>
      <c r="P31" s="65">
        <f>VLOOKUP(C13,N11:Q26,4,FALSE)</f>
        <v>0</v>
      </c>
    </row>
    <row r="32" spans="13:16" ht="15">
      <c r="M32" s="19">
        <f t="shared" si="0"/>
        <v>32</v>
      </c>
      <c r="N32" s="27" t="s">
        <v>76</v>
      </c>
      <c r="O32" s="20" t="s">
        <v>72</v>
      </c>
      <c r="P32" s="65">
        <f>(P28*P30*2)+((P29-2*P30)*P30*2)</f>
        <v>0.559056</v>
      </c>
    </row>
    <row r="33" spans="13:18" ht="15">
      <c r="M33" s="19">
        <f t="shared" si="0"/>
        <v>33</v>
      </c>
      <c r="N33" s="27" t="s">
        <v>78</v>
      </c>
      <c r="O33" s="20" t="s">
        <v>73</v>
      </c>
      <c r="P33" s="65">
        <f>((P29-P30*2)*P31)*C10</f>
        <v>0</v>
      </c>
      <c r="R33" s="12"/>
    </row>
    <row r="34" spans="13:20" ht="15">
      <c r="M34" s="19">
        <f t="shared" si="0"/>
        <v>34</v>
      </c>
      <c r="N34" s="27" t="s">
        <v>79</v>
      </c>
      <c r="O34" s="20" t="s">
        <v>74</v>
      </c>
      <c r="P34" s="65">
        <f>((P28-(P30*2)-(C10*P31))*P31)*C11</f>
        <v>0</v>
      </c>
      <c r="S34" s="25"/>
      <c r="T34" s="25"/>
    </row>
    <row r="35" spans="13:17" ht="15">
      <c r="M35" s="19">
        <f t="shared" si="0"/>
        <v>35</v>
      </c>
      <c r="N35" s="27" t="s">
        <v>80</v>
      </c>
      <c r="O35" s="20" t="s">
        <v>72</v>
      </c>
      <c r="P35" s="65">
        <f>P32+P33+P34</f>
        <v>0.559056</v>
      </c>
      <c r="Q35" s="1"/>
    </row>
    <row r="36" spans="13:16" ht="15">
      <c r="M36" s="19">
        <f t="shared" si="0"/>
        <v>36</v>
      </c>
      <c r="N36" s="27" t="s">
        <v>82</v>
      </c>
      <c r="O36" s="20" t="s">
        <v>81</v>
      </c>
      <c r="P36" s="65">
        <f>(P28*P29)-P35</f>
        <v>1.216944</v>
      </c>
    </row>
    <row r="37" spans="13:16" ht="15">
      <c r="M37" s="19">
        <f t="shared" si="0"/>
        <v>37</v>
      </c>
      <c r="N37" s="27" t="s">
        <v>83</v>
      </c>
      <c r="O37" s="20" t="s">
        <v>9</v>
      </c>
      <c r="P37" s="65">
        <f>P28*P29</f>
        <v>1.776</v>
      </c>
    </row>
    <row r="38" spans="13:16" ht="15">
      <c r="M38" s="19">
        <f t="shared" si="0"/>
        <v>38</v>
      </c>
      <c r="N38" s="26" t="s">
        <v>85</v>
      </c>
      <c r="O38" s="20" t="s">
        <v>84</v>
      </c>
      <c r="P38" s="66">
        <f>VLOOKUP(C12,N2:Q10,2,FALSE)</f>
        <v>1.36</v>
      </c>
    </row>
    <row r="39" spans="13:16" ht="15">
      <c r="M39" s="19">
        <f t="shared" si="0"/>
        <v>39</v>
      </c>
      <c r="N39" s="26" t="s">
        <v>86</v>
      </c>
      <c r="O39" s="20" t="s">
        <v>87</v>
      </c>
      <c r="P39" s="66">
        <f>VLOOKUP(C13,N11:Q26,2,FALSE)</f>
        <v>0</v>
      </c>
    </row>
    <row r="40" spans="13:16" ht="15">
      <c r="M40" s="19">
        <f t="shared" si="0"/>
        <v>40</v>
      </c>
      <c r="N40" s="26" t="s">
        <v>88</v>
      </c>
      <c r="O40" s="20" t="s">
        <v>89</v>
      </c>
      <c r="P40" s="65">
        <f>C9</f>
        <v>0.7</v>
      </c>
    </row>
    <row r="41" spans="13:16" ht="15">
      <c r="M41" s="19">
        <f t="shared" si="0"/>
        <v>41</v>
      </c>
      <c r="N41" s="26" t="s">
        <v>95</v>
      </c>
      <c r="O41" s="20" t="s">
        <v>2</v>
      </c>
      <c r="P41" s="66">
        <f>VLOOKUP(C14,N50:O51,2)</f>
        <v>0.04</v>
      </c>
    </row>
    <row r="42" spans="13:16" ht="15">
      <c r="M42" s="19">
        <f t="shared" si="0"/>
        <v>42</v>
      </c>
      <c r="N42" s="26" t="s">
        <v>94</v>
      </c>
      <c r="O42" s="20" t="s">
        <v>1</v>
      </c>
      <c r="P42" s="66">
        <f>P41</f>
        <v>0.04</v>
      </c>
    </row>
    <row r="43" spans="13:16" ht="15">
      <c r="M43" s="19">
        <f t="shared" si="0"/>
        <v>43</v>
      </c>
      <c r="N43" s="26" t="s">
        <v>96</v>
      </c>
      <c r="O43" s="20" t="s">
        <v>5</v>
      </c>
      <c r="P43" s="65">
        <f>(P28-P30*2-P31*C10)*2+(P29-P30*2-P31*C11)*2</f>
        <v>4.448</v>
      </c>
    </row>
    <row r="44" spans="13:16" ht="15">
      <c r="M44" s="19">
        <f t="shared" si="0"/>
        <v>44</v>
      </c>
      <c r="N44" s="26" t="s">
        <v>97</v>
      </c>
      <c r="O44" s="20" t="s">
        <v>6</v>
      </c>
      <c r="P44" s="65">
        <f>((P29-2*P30)*2)*C10</f>
        <v>0</v>
      </c>
    </row>
    <row r="45" spans="13:16" ht="15">
      <c r="M45" s="19">
        <f t="shared" si="0"/>
        <v>45</v>
      </c>
      <c r="N45" s="26" t="s">
        <v>98</v>
      </c>
      <c r="O45" s="28" t="s">
        <v>99</v>
      </c>
      <c r="P45" s="65">
        <f>((P28-2*P30-C10*P31)*2)*C11</f>
        <v>0</v>
      </c>
    </row>
    <row r="46" spans="13:16" ht="15">
      <c r="M46" s="19">
        <f t="shared" si="0"/>
        <v>46</v>
      </c>
      <c r="N46" s="26" t="s">
        <v>100</v>
      </c>
      <c r="O46" s="28" t="s">
        <v>101</v>
      </c>
      <c r="P46" s="64">
        <f>P43+P44+P45</f>
        <v>4.448</v>
      </c>
    </row>
    <row r="47" spans="13:16" ht="15">
      <c r="M47" s="19">
        <f t="shared" si="0"/>
        <v>47</v>
      </c>
      <c r="N47" s="26" t="s">
        <v>107</v>
      </c>
      <c r="O47" s="28" t="s">
        <v>55</v>
      </c>
      <c r="P47" s="12">
        <f>(P38*P32+P39*P33+P39*P34+P40*P36+P41*P43+P42*P44+P42*P45)/P37</f>
        <v>1.0079374774774774</v>
      </c>
    </row>
    <row r="49" spans="14:15" ht="15.75">
      <c r="N49" s="34" t="s">
        <v>109</v>
      </c>
      <c r="O49" s="16" t="s">
        <v>21</v>
      </c>
    </row>
    <row r="50" spans="14:18" ht="15.75">
      <c r="N50" s="13" t="s">
        <v>110</v>
      </c>
      <c r="O50" s="13">
        <v>0.07</v>
      </c>
      <c r="R50" s="33" t="s">
        <v>112</v>
      </c>
    </row>
    <row r="51" spans="14:17" ht="15">
      <c r="N51" s="13" t="s">
        <v>111</v>
      </c>
      <c r="O51" s="13">
        <v>0.04</v>
      </c>
      <c r="Q51"/>
    </row>
    <row r="53" ht="15">
      <c r="N53"/>
    </row>
  </sheetData>
  <sheetProtection/>
  <mergeCells count="4">
    <mergeCell ref="B2:K2"/>
    <mergeCell ref="B3:K3"/>
    <mergeCell ref="B4:K4"/>
    <mergeCell ref="B5:K5"/>
  </mergeCells>
  <dataValidations count="3">
    <dataValidation type="list" allowBlank="1" showInputMessage="1" showErrorMessage="1" promptTitle="Rama" prompt="Wybierz z listy" sqref="C12">
      <formula1>$N$2:$N$10</formula1>
    </dataValidation>
    <dataValidation type="list" allowBlank="1" showInputMessage="1" showErrorMessage="1" promptTitle="Skrzydło" prompt="Wybierz z listy" sqref="C13">
      <formula1>$N$11:$N$26</formula1>
    </dataValidation>
    <dataValidation type="list" allowBlank="1" showInputMessage="1" showErrorMessage="1" promptTitle="Ramka" prompt="Wybierz z listy" sqref="C14">
      <formula1>$N$50:$N$51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6"/>
  <drawing r:id="rId5"/>
  <legacyDrawing r:id="rId2"/>
  <oleObjects>
    <oleObject progId="Dokument" shapeId="662580" r:id="rId1"/>
  </oleObjects>
  <tableParts>
    <tablePart r:id="rId4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1"/>
  <sheetViews>
    <sheetView tabSelected="1" zoomScale="90" zoomScaleNormal="90" zoomScalePageLayoutView="0" workbookViewId="0" topLeftCell="A1">
      <selection activeCell="C35" sqref="C35"/>
    </sheetView>
  </sheetViews>
  <sheetFormatPr defaultColWidth="9.00390625" defaultRowHeight="12.75"/>
  <cols>
    <col min="1" max="1" width="9.125" style="2" customWidth="1"/>
    <col min="2" max="2" width="20.00390625" style="2" bestFit="1" customWidth="1"/>
    <col min="3" max="3" width="17.625" style="2" bestFit="1" customWidth="1"/>
    <col min="4" max="4" width="10.375" style="3" bestFit="1" customWidth="1"/>
    <col min="5" max="5" width="6.25390625" style="2" bestFit="1" customWidth="1"/>
    <col min="6" max="6" width="6.75390625" style="2" bestFit="1" customWidth="1"/>
    <col min="7" max="7" width="7.75390625" style="2" bestFit="1" customWidth="1"/>
    <col min="8" max="8" width="7.375" style="2" bestFit="1" customWidth="1"/>
    <col min="9" max="9" width="4.125" style="2" bestFit="1" customWidth="1"/>
    <col min="10" max="10" width="6.375" style="2" bestFit="1" customWidth="1"/>
    <col min="11" max="11" width="9.75390625" style="2" bestFit="1" customWidth="1"/>
    <col min="12" max="12" width="9.125" style="2" customWidth="1"/>
    <col min="13" max="13" width="9.125" style="19" hidden="1" customWidth="1"/>
    <col min="14" max="14" width="24.125" style="12" hidden="1" customWidth="1"/>
    <col min="15" max="17" width="9.125" style="12" hidden="1" customWidth="1"/>
    <col min="18" max="16384" width="9.125" style="1" customWidth="1"/>
  </cols>
  <sheetData>
    <row r="1" spans="13:17" ht="15.75">
      <c r="M1" s="19">
        <v>1</v>
      </c>
      <c r="N1" s="15" t="s">
        <v>12</v>
      </c>
      <c r="O1" s="15" t="s">
        <v>56</v>
      </c>
      <c r="P1" s="16" t="s">
        <v>21</v>
      </c>
      <c r="Q1" s="15" t="s">
        <v>22</v>
      </c>
    </row>
    <row r="2" spans="2:14" ht="15.75">
      <c r="B2" s="68" t="s">
        <v>147</v>
      </c>
      <c r="C2" s="68"/>
      <c r="D2" s="68"/>
      <c r="E2" s="68"/>
      <c r="F2" s="68"/>
      <c r="G2" s="68"/>
      <c r="H2" s="68"/>
      <c r="I2" s="68"/>
      <c r="J2" s="68"/>
      <c r="K2" s="68"/>
      <c r="M2" s="19">
        <f>M1+1</f>
        <v>2</v>
      </c>
      <c r="N2" s="18" t="s">
        <v>46</v>
      </c>
    </row>
    <row r="3" spans="2:17" ht="15.75">
      <c r="B3" s="68" t="s">
        <v>10</v>
      </c>
      <c r="C3" s="68"/>
      <c r="D3" s="68"/>
      <c r="E3" s="68"/>
      <c r="F3" s="68"/>
      <c r="G3" s="68"/>
      <c r="H3" s="68"/>
      <c r="I3" s="68"/>
      <c r="J3" s="68"/>
      <c r="K3" s="68"/>
      <c r="M3" s="19">
        <f aca="true" t="shared" si="0" ref="M3:M47">M2+1</f>
        <v>3</v>
      </c>
      <c r="N3" s="13" t="s">
        <v>31</v>
      </c>
      <c r="O3" s="17">
        <v>1.2</v>
      </c>
      <c r="P3" s="13"/>
      <c r="Q3" s="13">
        <v>0.114</v>
      </c>
    </row>
    <row r="4" spans="2:17" ht="15.75">
      <c r="B4" s="69" t="s">
        <v>34</v>
      </c>
      <c r="C4" s="69"/>
      <c r="D4" s="69"/>
      <c r="E4" s="69"/>
      <c r="F4" s="69"/>
      <c r="G4" s="69"/>
      <c r="H4" s="69"/>
      <c r="I4" s="69"/>
      <c r="J4" s="69"/>
      <c r="K4" s="69"/>
      <c r="M4" s="19">
        <f t="shared" si="0"/>
        <v>4</v>
      </c>
      <c r="N4" s="14" t="s">
        <v>186</v>
      </c>
      <c r="O4" s="17">
        <v>1.2</v>
      </c>
      <c r="P4" s="13"/>
      <c r="Q4" s="13">
        <v>0.109</v>
      </c>
    </row>
    <row r="5" spans="2:17" ht="15">
      <c r="B5" s="70"/>
      <c r="C5" s="70"/>
      <c r="D5" s="70"/>
      <c r="E5" s="70"/>
      <c r="F5" s="70"/>
      <c r="G5" s="70"/>
      <c r="H5" s="70"/>
      <c r="I5" s="70"/>
      <c r="J5" s="70"/>
      <c r="K5" s="70"/>
      <c r="M5" s="19">
        <f t="shared" si="0"/>
        <v>5</v>
      </c>
      <c r="N5" s="14" t="s">
        <v>187</v>
      </c>
      <c r="O5" s="17">
        <v>1.2</v>
      </c>
      <c r="P5" s="13"/>
      <c r="Q5" s="13">
        <v>0.124</v>
      </c>
    </row>
    <row r="6" spans="13:17" ht="15">
      <c r="M6" s="19">
        <f t="shared" si="0"/>
        <v>6</v>
      </c>
      <c r="N6" s="13" t="s">
        <v>188</v>
      </c>
      <c r="O6" s="17">
        <v>1.2</v>
      </c>
      <c r="P6" s="13"/>
      <c r="Q6" s="13">
        <v>0.119</v>
      </c>
    </row>
    <row r="7" spans="2:17" ht="15.75">
      <c r="B7" s="4" t="s">
        <v>7</v>
      </c>
      <c r="C7" s="10">
        <v>1000</v>
      </c>
      <c r="D7" s="2" t="s">
        <v>0</v>
      </c>
      <c r="E7" s="5" t="s">
        <v>51</v>
      </c>
      <c r="F7" s="8">
        <f>P38</f>
        <v>1</v>
      </c>
      <c r="G7" s="7" t="s">
        <v>4</v>
      </c>
      <c r="I7" s="5" t="s">
        <v>114</v>
      </c>
      <c r="J7" s="2">
        <f>P41</f>
        <v>0.04</v>
      </c>
      <c r="K7" s="6" t="s">
        <v>105</v>
      </c>
      <c r="M7" s="19">
        <f t="shared" si="0"/>
        <v>7</v>
      </c>
      <c r="N7" s="14" t="s">
        <v>191</v>
      </c>
      <c r="O7" s="17">
        <v>1</v>
      </c>
      <c r="P7" s="13"/>
      <c r="Q7" s="13">
        <v>0.124</v>
      </c>
    </row>
    <row r="8" spans="2:17" ht="15.75">
      <c r="B8" s="4" t="s">
        <v>8</v>
      </c>
      <c r="C8" s="10">
        <v>1000</v>
      </c>
      <c r="D8" s="2" t="s">
        <v>0</v>
      </c>
      <c r="E8" s="5" t="s">
        <v>52</v>
      </c>
      <c r="F8" s="8">
        <f>P39</f>
        <v>0</v>
      </c>
      <c r="G8" s="7" t="s">
        <v>4</v>
      </c>
      <c r="I8" s="5" t="s">
        <v>101</v>
      </c>
      <c r="J8" s="30">
        <f>P46</f>
        <v>3.144</v>
      </c>
      <c r="K8" s="6" t="s">
        <v>106</v>
      </c>
      <c r="M8" s="19">
        <f t="shared" si="0"/>
        <v>8</v>
      </c>
      <c r="N8" s="14" t="s">
        <v>192</v>
      </c>
      <c r="O8" s="17">
        <v>1</v>
      </c>
      <c r="P8" s="13"/>
      <c r="Q8" s="13">
        <v>0.107</v>
      </c>
    </row>
    <row r="9" spans="2:17" ht="15.75">
      <c r="B9" s="4" t="s">
        <v>3</v>
      </c>
      <c r="C9" s="35">
        <v>0.7</v>
      </c>
      <c r="D9" s="7" t="s">
        <v>4</v>
      </c>
      <c r="E9" s="5" t="s">
        <v>53</v>
      </c>
      <c r="F9" s="8">
        <f>P32</f>
        <v>0.382204</v>
      </c>
      <c r="G9" s="2" t="s">
        <v>102</v>
      </c>
      <c r="I9" s="5"/>
      <c r="J9" s="30"/>
      <c r="K9" s="6"/>
      <c r="M9" s="19">
        <f t="shared" si="0"/>
        <v>9</v>
      </c>
      <c r="N9" s="14" t="s">
        <v>193</v>
      </c>
      <c r="O9" s="17">
        <v>1</v>
      </c>
      <c r="P9" s="13"/>
      <c r="Q9" s="13">
        <v>0.119</v>
      </c>
    </row>
    <row r="10" spans="2:17" ht="15.75">
      <c r="B10" s="4" t="s">
        <v>68</v>
      </c>
      <c r="C10" s="11">
        <v>0</v>
      </c>
      <c r="D10" s="7"/>
      <c r="E10" s="5" t="s">
        <v>54</v>
      </c>
      <c r="F10" s="8">
        <f>P33+P34</f>
        <v>0</v>
      </c>
      <c r="G10" s="2" t="s">
        <v>102</v>
      </c>
      <c r="M10" s="19">
        <f t="shared" si="0"/>
        <v>10</v>
      </c>
      <c r="N10" s="14"/>
      <c r="O10" s="17"/>
      <c r="P10" s="13"/>
      <c r="Q10" s="13"/>
    </row>
    <row r="11" spans="2:17" ht="15.75">
      <c r="B11" s="4" t="s">
        <v>69</v>
      </c>
      <c r="C11" s="11">
        <v>0</v>
      </c>
      <c r="D11" s="7"/>
      <c r="E11" s="5" t="s">
        <v>103</v>
      </c>
      <c r="F11" s="36">
        <f>P40</f>
        <v>0.7</v>
      </c>
      <c r="G11" s="7" t="s">
        <v>4</v>
      </c>
      <c r="M11" s="19">
        <f t="shared" si="0"/>
        <v>11</v>
      </c>
      <c r="N11" s="14"/>
      <c r="O11" s="17"/>
      <c r="P11" s="13"/>
      <c r="Q11" s="13"/>
    </row>
    <row r="12" spans="2:13" ht="15.75">
      <c r="B12" s="4" t="s">
        <v>48</v>
      </c>
      <c r="C12" s="11" t="s">
        <v>192</v>
      </c>
      <c r="D12" s="2"/>
      <c r="E12" s="5" t="s">
        <v>104</v>
      </c>
      <c r="F12" s="8">
        <f>P36</f>
        <v>0.617796</v>
      </c>
      <c r="G12" s="2" t="s">
        <v>102</v>
      </c>
      <c r="M12" s="19">
        <f t="shared" si="0"/>
        <v>12</v>
      </c>
    </row>
    <row r="13" spans="2:14" ht="15.75">
      <c r="B13" s="4" t="s">
        <v>49</v>
      </c>
      <c r="C13" s="11">
        <v>0</v>
      </c>
      <c r="D13" s="2"/>
      <c r="M13" s="19">
        <f t="shared" si="0"/>
        <v>13</v>
      </c>
      <c r="N13" s="18" t="s">
        <v>47</v>
      </c>
    </row>
    <row r="14" spans="2:17" ht="15.75">
      <c r="B14" s="32" t="s">
        <v>113</v>
      </c>
      <c r="C14" s="11" t="s">
        <v>111</v>
      </c>
      <c r="D14" s="2"/>
      <c r="M14" s="19">
        <f t="shared" si="0"/>
        <v>14</v>
      </c>
      <c r="N14" s="14">
        <v>0</v>
      </c>
      <c r="O14" s="17">
        <v>0</v>
      </c>
      <c r="P14" s="13">
        <v>0</v>
      </c>
      <c r="Q14" s="13">
        <v>0</v>
      </c>
    </row>
    <row r="15" spans="4:17" ht="15">
      <c r="D15" s="2"/>
      <c r="M15" s="19">
        <f t="shared" si="0"/>
        <v>15</v>
      </c>
      <c r="N15" s="14" t="s">
        <v>32</v>
      </c>
      <c r="O15" s="17">
        <v>1.2</v>
      </c>
      <c r="P15" s="13"/>
      <c r="Q15" s="13">
        <v>0.192</v>
      </c>
    </row>
    <row r="16" spans="13:17" ht="15">
      <c r="M16" s="19">
        <f t="shared" si="0"/>
        <v>16</v>
      </c>
      <c r="N16" s="14" t="s">
        <v>33</v>
      </c>
      <c r="O16" s="17">
        <v>1.2</v>
      </c>
      <c r="P16" s="13"/>
      <c r="Q16" s="13">
        <v>0.152</v>
      </c>
    </row>
    <row r="17" spans="4:17" ht="15">
      <c r="D17" s="9"/>
      <c r="M17" s="19">
        <f t="shared" si="0"/>
        <v>17</v>
      </c>
      <c r="N17" s="14" t="s">
        <v>189</v>
      </c>
      <c r="O17" s="17">
        <v>1.2</v>
      </c>
      <c r="P17" s="13"/>
      <c r="Q17" s="13">
        <v>0.182</v>
      </c>
    </row>
    <row r="18" spans="4:17" ht="15">
      <c r="D18" s="9"/>
      <c r="M18" s="19">
        <f t="shared" si="0"/>
        <v>18</v>
      </c>
      <c r="N18" s="14" t="s">
        <v>190</v>
      </c>
      <c r="O18" s="17">
        <v>1.2</v>
      </c>
      <c r="P18" s="13"/>
      <c r="Q18" s="13">
        <v>0.142</v>
      </c>
    </row>
    <row r="19" spans="4:17" ht="15">
      <c r="D19" s="9"/>
      <c r="M19" s="19">
        <f t="shared" si="0"/>
        <v>19</v>
      </c>
      <c r="N19" s="14" t="s">
        <v>194</v>
      </c>
      <c r="O19" s="17">
        <v>1.1</v>
      </c>
      <c r="P19" s="13"/>
      <c r="Q19" s="13">
        <v>0.192</v>
      </c>
    </row>
    <row r="20" spans="4:17" ht="15">
      <c r="D20" s="9"/>
      <c r="M20" s="19">
        <f t="shared" si="0"/>
        <v>20</v>
      </c>
      <c r="N20" s="14" t="s">
        <v>195</v>
      </c>
      <c r="O20" s="17">
        <v>1.1</v>
      </c>
      <c r="P20" s="13"/>
      <c r="Q20" s="13">
        <v>0.152</v>
      </c>
    </row>
    <row r="21" spans="4:17" ht="15">
      <c r="D21" s="9"/>
      <c r="M21" s="19">
        <f t="shared" si="0"/>
        <v>21</v>
      </c>
      <c r="N21" s="14" t="s">
        <v>196</v>
      </c>
      <c r="O21" s="17">
        <v>1.1</v>
      </c>
      <c r="P21" s="13"/>
      <c r="Q21" s="13">
        <v>0.158</v>
      </c>
    </row>
    <row r="22" spans="4:17" ht="15">
      <c r="D22" s="9"/>
      <c r="M22" s="19">
        <f t="shared" si="0"/>
        <v>22</v>
      </c>
      <c r="N22" s="14" t="s">
        <v>197</v>
      </c>
      <c r="O22" s="17">
        <v>1.1</v>
      </c>
      <c r="P22" s="13"/>
      <c r="Q22" s="13">
        <v>0.118</v>
      </c>
    </row>
    <row r="23" spans="4:17" ht="15">
      <c r="D23" s="9"/>
      <c r="M23" s="19">
        <f t="shared" si="0"/>
        <v>23</v>
      </c>
      <c r="N23" s="14" t="s">
        <v>198</v>
      </c>
      <c r="O23" s="17">
        <v>1.1</v>
      </c>
      <c r="P23" s="13"/>
      <c r="Q23" s="13">
        <v>0.182</v>
      </c>
    </row>
    <row r="24" spans="4:17" ht="15">
      <c r="D24" s="9"/>
      <c r="M24" s="19">
        <f t="shared" si="0"/>
        <v>24</v>
      </c>
      <c r="N24" s="14" t="s">
        <v>199</v>
      </c>
      <c r="O24" s="17">
        <v>1.1</v>
      </c>
      <c r="P24" s="13"/>
      <c r="Q24" s="13">
        <v>0.142</v>
      </c>
    </row>
    <row r="25" spans="4:17" ht="15">
      <c r="D25" s="9"/>
      <c r="M25" s="19">
        <f t="shared" si="0"/>
        <v>25</v>
      </c>
      <c r="N25" s="14"/>
      <c r="O25" s="17"/>
      <c r="P25" s="13"/>
      <c r="Q25" s="13"/>
    </row>
    <row r="26" spans="13:17" ht="15.75" thickBot="1">
      <c r="M26" s="19">
        <f t="shared" si="0"/>
        <v>26</v>
      </c>
      <c r="N26" s="14"/>
      <c r="O26" s="17"/>
      <c r="P26" s="13"/>
      <c r="Q26" s="13"/>
    </row>
    <row r="27" spans="5:13" ht="19.5" thickBot="1" thickTop="1">
      <c r="E27" s="60" t="s">
        <v>55</v>
      </c>
      <c r="F27" s="61">
        <f>P47</f>
        <v>0.9404212</v>
      </c>
      <c r="G27" s="62" t="s">
        <v>4</v>
      </c>
      <c r="H27" s="63"/>
      <c r="M27" s="19">
        <f t="shared" si="0"/>
        <v>27</v>
      </c>
    </row>
    <row r="28" spans="13:16" ht="15.75" thickTop="1">
      <c r="M28" s="19">
        <f t="shared" si="0"/>
        <v>28</v>
      </c>
      <c r="N28" s="26" t="s">
        <v>90</v>
      </c>
      <c r="O28" s="28" t="s">
        <v>92</v>
      </c>
      <c r="P28" s="26">
        <f>C7/1000</f>
        <v>1</v>
      </c>
    </row>
    <row r="29" spans="2:16" ht="15">
      <c r="B29" s="31" t="s">
        <v>108</v>
      </c>
      <c r="M29" s="19">
        <f t="shared" si="0"/>
        <v>29</v>
      </c>
      <c r="N29" s="26" t="s">
        <v>91</v>
      </c>
      <c r="O29" s="28" t="s">
        <v>93</v>
      </c>
      <c r="P29" s="26">
        <f>C8/1000</f>
        <v>1</v>
      </c>
    </row>
    <row r="30" spans="13:16" ht="15">
      <c r="M30" s="19">
        <f t="shared" si="0"/>
        <v>30</v>
      </c>
      <c r="N30" s="27" t="s">
        <v>75</v>
      </c>
      <c r="O30" s="20" t="s">
        <v>70</v>
      </c>
      <c r="P30" s="21">
        <f>VLOOKUP(C12,N3:Q9,4,FALSE)</f>
        <v>0.107</v>
      </c>
    </row>
    <row r="31" spans="13:16" ht="15">
      <c r="M31" s="19">
        <f t="shared" si="0"/>
        <v>31</v>
      </c>
      <c r="N31" s="27" t="s">
        <v>77</v>
      </c>
      <c r="O31" s="20" t="s">
        <v>71</v>
      </c>
      <c r="P31" s="21">
        <f>VLOOKUP(C13,N14:Q24,4,FALSE)</f>
        <v>0</v>
      </c>
    </row>
    <row r="32" spans="13:16" ht="15">
      <c r="M32" s="19">
        <f t="shared" si="0"/>
        <v>32</v>
      </c>
      <c r="N32" s="27" t="s">
        <v>76</v>
      </c>
      <c r="O32" s="20" t="s">
        <v>72</v>
      </c>
      <c r="P32" s="24">
        <f>(P28*P30*2)+((P29-2*P30)*P30*2)</f>
        <v>0.382204</v>
      </c>
    </row>
    <row r="33" spans="13:18" ht="15">
      <c r="M33" s="19">
        <f t="shared" si="0"/>
        <v>33</v>
      </c>
      <c r="N33" s="27" t="s">
        <v>78</v>
      </c>
      <c r="O33" s="20" t="s">
        <v>73</v>
      </c>
      <c r="P33" s="24">
        <f>((P29-P30*2)*P31)*C10</f>
        <v>0</v>
      </c>
      <c r="R33" s="12"/>
    </row>
    <row r="34" spans="13:20" ht="15">
      <c r="M34" s="19">
        <f t="shared" si="0"/>
        <v>34</v>
      </c>
      <c r="N34" s="27" t="s">
        <v>79</v>
      </c>
      <c r="O34" s="20" t="s">
        <v>74</v>
      </c>
      <c r="P34" s="24">
        <f>((P28-(P30*2)-(C10*P31))*P31)*C11</f>
        <v>0</v>
      </c>
      <c r="S34" s="25"/>
      <c r="T34" s="25"/>
    </row>
    <row r="35" spans="13:17" ht="15">
      <c r="M35" s="19">
        <f t="shared" si="0"/>
        <v>35</v>
      </c>
      <c r="N35" s="27" t="s">
        <v>80</v>
      </c>
      <c r="O35" s="20" t="s">
        <v>72</v>
      </c>
      <c r="P35" s="24">
        <f>P32+P33+P34</f>
        <v>0.382204</v>
      </c>
      <c r="Q35" s="1"/>
    </row>
    <row r="36" spans="13:16" ht="15">
      <c r="M36" s="19">
        <f t="shared" si="0"/>
        <v>36</v>
      </c>
      <c r="N36" s="27" t="s">
        <v>82</v>
      </c>
      <c r="O36" s="20" t="s">
        <v>81</v>
      </c>
      <c r="P36" s="24">
        <f>(P28*P29)-P35</f>
        <v>0.617796</v>
      </c>
    </row>
    <row r="37" spans="13:16" ht="15">
      <c r="M37" s="19">
        <f t="shared" si="0"/>
        <v>37</v>
      </c>
      <c r="N37" s="27" t="s">
        <v>83</v>
      </c>
      <c r="O37" s="20" t="s">
        <v>9</v>
      </c>
      <c r="P37" s="24">
        <f>P28*P29</f>
        <v>1</v>
      </c>
    </row>
    <row r="38" spans="13:16" ht="15">
      <c r="M38" s="19">
        <f t="shared" si="0"/>
        <v>38</v>
      </c>
      <c r="N38" s="26" t="s">
        <v>85</v>
      </c>
      <c r="O38" s="20" t="s">
        <v>84</v>
      </c>
      <c r="P38" s="22">
        <f>VLOOKUP(C12,N3:Q9,2,FALSE)</f>
        <v>1</v>
      </c>
    </row>
    <row r="39" spans="13:16" ht="15">
      <c r="M39" s="19">
        <f t="shared" si="0"/>
        <v>39</v>
      </c>
      <c r="N39" s="26" t="s">
        <v>86</v>
      </c>
      <c r="O39" s="20" t="s">
        <v>87</v>
      </c>
      <c r="P39" s="23">
        <f>VLOOKUP(C13,N14:Q24,2,FALSE)</f>
        <v>0</v>
      </c>
    </row>
    <row r="40" spans="13:16" ht="15">
      <c r="M40" s="19">
        <f t="shared" si="0"/>
        <v>40</v>
      </c>
      <c r="N40" s="26" t="s">
        <v>88</v>
      </c>
      <c r="O40" s="20" t="s">
        <v>89</v>
      </c>
      <c r="P40" s="21">
        <f>C9</f>
        <v>0.7</v>
      </c>
    </row>
    <row r="41" spans="13:16" ht="15">
      <c r="M41" s="19">
        <f t="shared" si="0"/>
        <v>41</v>
      </c>
      <c r="N41" s="26" t="s">
        <v>95</v>
      </c>
      <c r="O41" s="20" t="s">
        <v>2</v>
      </c>
      <c r="P41" s="23">
        <f>VLOOKUP(C14,N50:O51,2,FALSE)</f>
        <v>0.04</v>
      </c>
    </row>
    <row r="42" spans="13:16" ht="15">
      <c r="M42" s="19">
        <f t="shared" si="0"/>
        <v>42</v>
      </c>
      <c r="N42" s="26" t="s">
        <v>94</v>
      </c>
      <c r="O42" s="20" t="s">
        <v>1</v>
      </c>
      <c r="P42" s="23">
        <f>P41</f>
        <v>0.04</v>
      </c>
    </row>
    <row r="43" spans="13:16" ht="15">
      <c r="M43" s="19">
        <f t="shared" si="0"/>
        <v>43</v>
      </c>
      <c r="N43" s="26" t="s">
        <v>96</v>
      </c>
      <c r="O43" s="20" t="s">
        <v>5</v>
      </c>
      <c r="P43" s="24">
        <f>(P28-P30*2-P31*C10)*2+(P29-P30*2-P31*C11)*2</f>
        <v>3.144</v>
      </c>
    </row>
    <row r="44" spans="13:16" ht="15">
      <c r="M44" s="19">
        <f t="shared" si="0"/>
        <v>44</v>
      </c>
      <c r="N44" s="26" t="s">
        <v>97</v>
      </c>
      <c r="O44" s="20" t="s">
        <v>6</v>
      </c>
      <c r="P44" s="24">
        <f>((P29-2*P30)*2)*C10</f>
        <v>0</v>
      </c>
    </row>
    <row r="45" spans="13:16" ht="15">
      <c r="M45" s="19">
        <f t="shared" si="0"/>
        <v>45</v>
      </c>
      <c r="N45" s="26" t="s">
        <v>98</v>
      </c>
      <c r="O45" s="28" t="s">
        <v>99</v>
      </c>
      <c r="P45" s="24">
        <f>((P28-2*P30-C10*P31)*2)*C11</f>
        <v>0</v>
      </c>
    </row>
    <row r="46" spans="13:16" ht="15">
      <c r="M46" s="19">
        <f t="shared" si="0"/>
        <v>46</v>
      </c>
      <c r="N46" s="26" t="s">
        <v>100</v>
      </c>
      <c r="O46" s="28" t="s">
        <v>101</v>
      </c>
      <c r="P46" s="29">
        <f>P43+P44+P45</f>
        <v>3.144</v>
      </c>
    </row>
    <row r="47" spans="13:16" ht="15">
      <c r="M47" s="19">
        <f t="shared" si="0"/>
        <v>47</v>
      </c>
      <c r="N47" s="26" t="s">
        <v>107</v>
      </c>
      <c r="O47" s="28" t="s">
        <v>55</v>
      </c>
      <c r="P47" s="12">
        <f>(P38*P32+P39*P33+P39*P34+P40*P36+P41*P43+P42*P44+P42*P45)/P37</f>
        <v>0.9404212</v>
      </c>
    </row>
    <row r="49" spans="14:15" ht="15.75">
      <c r="N49" s="34" t="s">
        <v>109</v>
      </c>
      <c r="O49" s="16" t="s">
        <v>21</v>
      </c>
    </row>
    <row r="50" spans="14:15" ht="15">
      <c r="N50" s="13" t="s">
        <v>110</v>
      </c>
      <c r="O50" s="13">
        <v>0.07</v>
      </c>
    </row>
    <row r="51" spans="14:15" ht="15">
      <c r="N51" s="13" t="s">
        <v>111</v>
      </c>
      <c r="O51" s="13">
        <v>0.04</v>
      </c>
    </row>
  </sheetData>
  <sheetProtection/>
  <mergeCells count="4">
    <mergeCell ref="B2:K2"/>
    <mergeCell ref="B3:K3"/>
    <mergeCell ref="B4:K4"/>
    <mergeCell ref="B5:K5"/>
  </mergeCells>
  <dataValidations count="3">
    <dataValidation type="list" allowBlank="1" showInputMessage="1" showErrorMessage="1" promptTitle="Rama" prompt="Wybierz z listy" sqref="C12">
      <formula1>$N$3:$N$11</formula1>
    </dataValidation>
    <dataValidation type="list" allowBlank="1" showInputMessage="1" showErrorMessage="1" promptTitle="Skrzydło" prompt="Wybierz z listy" sqref="C13">
      <formula1>$N$14:$N$26</formula1>
    </dataValidation>
    <dataValidation type="list" allowBlank="1" showInputMessage="1" showErrorMessage="1" promptTitle="Ramka" prompt="Wybierz z listy" sqref="C14">
      <formula1>$N$50:$N$51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  <oleObjects>
    <oleObject progId="Dokument" shapeId="6625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1"/>
  <sheetViews>
    <sheetView zoomScale="90" zoomScaleNormal="90" zoomScalePageLayoutView="0" workbookViewId="0" topLeftCell="A1">
      <selection activeCell="S15" sqref="S15"/>
    </sheetView>
  </sheetViews>
  <sheetFormatPr defaultColWidth="9.00390625" defaultRowHeight="12.75"/>
  <cols>
    <col min="1" max="1" width="9.125" style="2" customWidth="1"/>
    <col min="2" max="2" width="20.00390625" style="2" bestFit="1" customWidth="1"/>
    <col min="3" max="3" width="17.625" style="2" bestFit="1" customWidth="1"/>
    <col min="4" max="4" width="10.375" style="3" bestFit="1" customWidth="1"/>
    <col min="5" max="5" width="6.25390625" style="2" bestFit="1" customWidth="1"/>
    <col min="6" max="6" width="6.75390625" style="2" bestFit="1" customWidth="1"/>
    <col min="7" max="7" width="7.75390625" style="2" bestFit="1" customWidth="1"/>
    <col min="8" max="8" width="7.375" style="2" bestFit="1" customWidth="1"/>
    <col min="9" max="9" width="4.125" style="2" bestFit="1" customWidth="1"/>
    <col min="10" max="10" width="6.75390625" style="2" bestFit="1" customWidth="1"/>
    <col min="11" max="12" width="9.125" style="2" customWidth="1"/>
    <col min="13" max="13" width="9.125" style="19" hidden="1" customWidth="1"/>
    <col min="14" max="14" width="24.125" style="12" hidden="1" customWidth="1"/>
    <col min="15" max="17" width="9.125" style="12" hidden="1" customWidth="1"/>
    <col min="18" max="16384" width="9.125" style="1" customWidth="1"/>
  </cols>
  <sheetData>
    <row r="1" spans="13:17" ht="15.75">
      <c r="M1" s="19">
        <v>1</v>
      </c>
      <c r="N1" s="15" t="s">
        <v>12</v>
      </c>
      <c r="O1" s="15" t="s">
        <v>56</v>
      </c>
      <c r="P1" s="16" t="s">
        <v>21</v>
      </c>
      <c r="Q1" s="15" t="s">
        <v>22</v>
      </c>
    </row>
    <row r="2" spans="2:14" ht="15.75">
      <c r="B2" s="68" t="s">
        <v>147</v>
      </c>
      <c r="C2" s="68"/>
      <c r="D2" s="68"/>
      <c r="E2" s="68"/>
      <c r="F2" s="68"/>
      <c r="G2" s="68"/>
      <c r="H2" s="68"/>
      <c r="I2" s="68"/>
      <c r="J2" s="68"/>
      <c r="K2" s="68"/>
      <c r="M2" s="19">
        <f>M1+1</f>
        <v>2</v>
      </c>
      <c r="N2" s="18" t="s">
        <v>46</v>
      </c>
    </row>
    <row r="3" spans="2:17" ht="15.75">
      <c r="B3" s="68" t="s">
        <v>10</v>
      </c>
      <c r="C3" s="68"/>
      <c r="D3" s="68"/>
      <c r="E3" s="68"/>
      <c r="F3" s="68"/>
      <c r="G3" s="68"/>
      <c r="H3" s="68"/>
      <c r="I3" s="68"/>
      <c r="J3" s="68"/>
      <c r="K3" s="68"/>
      <c r="M3" s="19">
        <f aca="true" t="shared" si="0" ref="M3:M47">M2+1</f>
        <v>3</v>
      </c>
      <c r="N3" s="13" t="s">
        <v>36</v>
      </c>
      <c r="O3" s="13">
        <v>1.2</v>
      </c>
      <c r="P3" s="13"/>
      <c r="Q3" s="13">
        <v>0.124</v>
      </c>
    </row>
    <row r="4" spans="2:17" ht="15.75">
      <c r="B4" s="69" t="s">
        <v>35</v>
      </c>
      <c r="C4" s="69"/>
      <c r="D4" s="69"/>
      <c r="E4" s="69"/>
      <c r="F4" s="69"/>
      <c r="G4" s="69"/>
      <c r="H4" s="69"/>
      <c r="I4" s="69"/>
      <c r="J4" s="69"/>
      <c r="K4" s="69"/>
      <c r="M4" s="19">
        <f t="shared" si="0"/>
        <v>4</v>
      </c>
      <c r="N4" s="14" t="s">
        <v>116</v>
      </c>
      <c r="O4" s="13">
        <v>1.1</v>
      </c>
      <c r="P4" s="13"/>
      <c r="Q4" s="13">
        <v>0.124</v>
      </c>
    </row>
    <row r="5" spans="2:17" ht="15">
      <c r="B5" s="70"/>
      <c r="C5" s="70"/>
      <c r="D5" s="70"/>
      <c r="E5" s="70"/>
      <c r="F5" s="70"/>
      <c r="G5" s="70"/>
      <c r="H5" s="70"/>
      <c r="I5" s="70"/>
      <c r="J5" s="70"/>
      <c r="K5" s="70"/>
      <c r="M5" s="19">
        <f t="shared" si="0"/>
        <v>5</v>
      </c>
      <c r="N5" s="14"/>
      <c r="O5" s="13"/>
      <c r="P5" s="13"/>
      <c r="Q5" s="13"/>
    </row>
    <row r="6" spans="13:17" ht="15">
      <c r="M6" s="19">
        <f t="shared" si="0"/>
        <v>6</v>
      </c>
      <c r="N6" s="13"/>
      <c r="O6" s="13"/>
      <c r="P6" s="13"/>
      <c r="Q6" s="13"/>
    </row>
    <row r="7" spans="2:17" ht="15.75">
      <c r="B7" s="4" t="s">
        <v>7</v>
      </c>
      <c r="C7" s="38">
        <v>1300</v>
      </c>
      <c r="D7" s="2" t="s">
        <v>0</v>
      </c>
      <c r="E7" s="5" t="s">
        <v>51</v>
      </c>
      <c r="F7" s="8">
        <f>P38</f>
        <v>1.1</v>
      </c>
      <c r="G7" s="7" t="s">
        <v>4</v>
      </c>
      <c r="I7" s="5" t="s">
        <v>114</v>
      </c>
      <c r="J7" s="2">
        <f>P41</f>
        <v>0.04</v>
      </c>
      <c r="K7" s="6" t="s">
        <v>105</v>
      </c>
      <c r="M7" s="19">
        <f t="shared" si="0"/>
        <v>7</v>
      </c>
      <c r="N7" s="14"/>
      <c r="O7" s="13"/>
      <c r="P7" s="13"/>
      <c r="Q7" s="13"/>
    </row>
    <row r="8" spans="2:17" ht="15.75">
      <c r="B8" s="4" t="s">
        <v>8</v>
      </c>
      <c r="C8" s="38">
        <v>1500</v>
      </c>
      <c r="D8" s="2" t="s">
        <v>0</v>
      </c>
      <c r="E8" s="5" t="s">
        <v>52</v>
      </c>
      <c r="F8" s="8">
        <f>P39</f>
        <v>0</v>
      </c>
      <c r="G8" s="7" t="s">
        <v>4</v>
      </c>
      <c r="I8" s="5" t="s">
        <v>101</v>
      </c>
      <c r="J8" s="30">
        <f>P46</f>
        <v>4.6080000000000005</v>
      </c>
      <c r="K8" s="6" t="s">
        <v>106</v>
      </c>
      <c r="M8" s="19">
        <f t="shared" si="0"/>
        <v>8</v>
      </c>
      <c r="N8" s="14"/>
      <c r="O8" s="13"/>
      <c r="P8" s="13"/>
      <c r="Q8" s="13"/>
    </row>
    <row r="9" spans="2:17" ht="15.75">
      <c r="B9" s="4" t="s">
        <v>3</v>
      </c>
      <c r="C9" s="39">
        <v>0.7</v>
      </c>
      <c r="D9" s="7" t="s">
        <v>4</v>
      </c>
      <c r="E9" s="5" t="s">
        <v>53</v>
      </c>
      <c r="F9" s="8">
        <f>P32</f>
        <v>0.632896</v>
      </c>
      <c r="G9" s="2" t="s">
        <v>102</v>
      </c>
      <c r="I9" s="5"/>
      <c r="J9" s="30"/>
      <c r="K9" s="6"/>
      <c r="M9" s="19">
        <f t="shared" si="0"/>
        <v>9</v>
      </c>
      <c r="N9" s="14"/>
      <c r="O9" s="13"/>
      <c r="P9" s="13"/>
      <c r="Q9" s="13"/>
    </row>
    <row r="10" spans="2:17" ht="15.75">
      <c r="B10" s="4" t="s">
        <v>68</v>
      </c>
      <c r="C10" s="37">
        <v>0</v>
      </c>
      <c r="D10" s="7"/>
      <c r="E10" s="5" t="s">
        <v>54</v>
      </c>
      <c r="F10" s="8">
        <f>P33+P34</f>
        <v>0</v>
      </c>
      <c r="G10" s="2" t="s">
        <v>102</v>
      </c>
      <c r="M10" s="19">
        <f t="shared" si="0"/>
        <v>10</v>
      </c>
      <c r="N10" s="14"/>
      <c r="O10" s="13"/>
      <c r="P10" s="13"/>
      <c r="Q10" s="13"/>
    </row>
    <row r="11" spans="2:17" ht="15.75">
      <c r="B11" s="4" t="s">
        <v>69</v>
      </c>
      <c r="C11" s="37">
        <v>0</v>
      </c>
      <c r="D11" s="7"/>
      <c r="E11" s="5" t="s">
        <v>103</v>
      </c>
      <c r="F11" s="36">
        <f>P40</f>
        <v>0.7</v>
      </c>
      <c r="G11" s="7" t="s">
        <v>4</v>
      </c>
      <c r="M11" s="19">
        <f t="shared" si="0"/>
        <v>11</v>
      </c>
      <c r="N11" s="14"/>
      <c r="O11" s="13"/>
      <c r="P11" s="13"/>
      <c r="Q11" s="13"/>
    </row>
    <row r="12" spans="2:13" ht="15.75">
      <c r="B12" s="4" t="s">
        <v>48</v>
      </c>
      <c r="C12" s="37" t="s">
        <v>116</v>
      </c>
      <c r="D12" s="2"/>
      <c r="E12" s="5" t="s">
        <v>104</v>
      </c>
      <c r="F12" s="8">
        <f>P36</f>
        <v>1.317104</v>
      </c>
      <c r="G12" s="2" t="s">
        <v>102</v>
      </c>
      <c r="M12" s="19">
        <f t="shared" si="0"/>
        <v>12</v>
      </c>
    </row>
    <row r="13" spans="2:14" ht="15.75">
      <c r="B13" s="4" t="s">
        <v>49</v>
      </c>
      <c r="C13" s="37"/>
      <c r="D13" s="2"/>
      <c r="M13" s="19">
        <f t="shared" si="0"/>
        <v>13</v>
      </c>
      <c r="N13" s="18" t="s">
        <v>47</v>
      </c>
    </row>
    <row r="14" spans="2:17" ht="15.75">
      <c r="B14" s="32" t="s">
        <v>113</v>
      </c>
      <c r="C14" s="39" t="s">
        <v>111</v>
      </c>
      <c r="D14" s="2"/>
      <c r="M14" s="19">
        <f t="shared" si="0"/>
        <v>14</v>
      </c>
      <c r="N14" s="14">
        <v>0</v>
      </c>
      <c r="O14" s="17">
        <v>0</v>
      </c>
      <c r="P14" s="13">
        <v>0</v>
      </c>
      <c r="Q14" s="13">
        <v>0</v>
      </c>
    </row>
    <row r="15" spans="4:17" ht="15">
      <c r="D15" s="2"/>
      <c r="M15" s="19">
        <f t="shared" si="0"/>
        <v>15</v>
      </c>
      <c r="N15" s="14" t="s">
        <v>37</v>
      </c>
      <c r="O15" s="13">
        <v>1.2</v>
      </c>
      <c r="P15" s="13"/>
      <c r="Q15" s="13">
        <v>0.192</v>
      </c>
    </row>
    <row r="16" spans="13:17" ht="15">
      <c r="M16" s="19">
        <f t="shared" si="0"/>
        <v>16</v>
      </c>
      <c r="N16" s="14" t="s">
        <v>115</v>
      </c>
      <c r="O16" s="13">
        <v>1.2</v>
      </c>
      <c r="P16" s="13"/>
      <c r="Q16" s="13">
        <v>0.152</v>
      </c>
    </row>
    <row r="17" spans="4:17" ht="15">
      <c r="D17" s="9"/>
      <c r="M17" s="19">
        <f t="shared" si="0"/>
        <v>17</v>
      </c>
      <c r="N17" s="14" t="s">
        <v>117</v>
      </c>
      <c r="O17" s="48">
        <v>1.1</v>
      </c>
      <c r="P17" s="13"/>
      <c r="Q17" s="13">
        <v>0.192</v>
      </c>
    </row>
    <row r="18" spans="4:17" ht="15">
      <c r="D18" s="9"/>
      <c r="M18" s="19">
        <f t="shared" si="0"/>
        <v>18</v>
      </c>
      <c r="N18" s="14" t="s">
        <v>118</v>
      </c>
      <c r="O18" s="48">
        <v>1.1</v>
      </c>
      <c r="P18" s="13"/>
      <c r="Q18" s="13">
        <v>0.152</v>
      </c>
    </row>
    <row r="19" spans="4:17" ht="15">
      <c r="D19" s="9"/>
      <c r="M19" s="19">
        <f t="shared" si="0"/>
        <v>19</v>
      </c>
      <c r="N19" s="14"/>
      <c r="O19" s="17"/>
      <c r="P19" s="13"/>
      <c r="Q19" s="13"/>
    </row>
    <row r="20" spans="4:17" ht="15">
      <c r="D20" s="9"/>
      <c r="M20" s="19">
        <f t="shared" si="0"/>
        <v>20</v>
      </c>
      <c r="N20" s="14"/>
      <c r="O20" s="17"/>
      <c r="P20" s="13"/>
      <c r="Q20" s="13"/>
    </row>
    <row r="21" spans="4:17" ht="15">
      <c r="D21" s="9"/>
      <c r="M21" s="19">
        <f t="shared" si="0"/>
        <v>21</v>
      </c>
      <c r="N21" s="14"/>
      <c r="O21" s="17"/>
      <c r="P21" s="13"/>
      <c r="Q21" s="13"/>
    </row>
    <row r="22" spans="4:17" ht="15">
      <c r="D22" s="9"/>
      <c r="M22" s="19">
        <f t="shared" si="0"/>
        <v>22</v>
      </c>
      <c r="N22" s="14"/>
      <c r="O22" s="17"/>
      <c r="P22" s="13"/>
      <c r="Q22" s="13"/>
    </row>
    <row r="23" spans="4:17" ht="15">
      <c r="D23" s="9"/>
      <c r="M23" s="19">
        <f t="shared" si="0"/>
        <v>23</v>
      </c>
      <c r="N23" s="14"/>
      <c r="O23" s="17"/>
      <c r="P23" s="13"/>
      <c r="Q23" s="13"/>
    </row>
    <row r="24" spans="4:17" ht="15">
      <c r="D24" s="9"/>
      <c r="M24" s="19">
        <f t="shared" si="0"/>
        <v>24</v>
      </c>
      <c r="N24" s="14"/>
      <c r="O24" s="17"/>
      <c r="P24" s="13"/>
      <c r="Q24" s="13"/>
    </row>
    <row r="25" spans="4:17" ht="15">
      <c r="D25" s="9"/>
      <c r="M25" s="19">
        <f t="shared" si="0"/>
        <v>25</v>
      </c>
      <c r="N25" s="14"/>
      <c r="O25" s="17"/>
      <c r="P25" s="13"/>
      <c r="Q25" s="13"/>
    </row>
    <row r="26" spans="13:17" ht="15.75" thickBot="1">
      <c r="M26" s="19">
        <f t="shared" si="0"/>
        <v>26</v>
      </c>
      <c r="N26" s="14"/>
      <c r="O26" s="17"/>
      <c r="P26" s="13"/>
      <c r="Q26" s="13"/>
    </row>
    <row r="27" spans="5:13" ht="19.5" thickBot="1" thickTop="1">
      <c r="E27" s="60" t="s">
        <v>55</v>
      </c>
      <c r="F27" s="61">
        <f>P47</f>
        <v>0.9243478974358974</v>
      </c>
      <c r="G27" s="62" t="s">
        <v>4</v>
      </c>
      <c r="H27" s="63"/>
      <c r="M27" s="19">
        <f t="shared" si="0"/>
        <v>27</v>
      </c>
    </row>
    <row r="28" spans="13:16" ht="15.75" thickTop="1">
      <c r="M28" s="19">
        <f t="shared" si="0"/>
        <v>28</v>
      </c>
      <c r="N28" s="26" t="s">
        <v>90</v>
      </c>
      <c r="O28" s="28" t="s">
        <v>92</v>
      </c>
      <c r="P28" s="26">
        <f>C7/1000</f>
        <v>1.3</v>
      </c>
    </row>
    <row r="29" spans="2:16" ht="15">
      <c r="B29" s="31" t="s">
        <v>108</v>
      </c>
      <c r="M29" s="19">
        <f t="shared" si="0"/>
        <v>29</v>
      </c>
      <c r="N29" s="26" t="s">
        <v>91</v>
      </c>
      <c r="O29" s="28" t="s">
        <v>93</v>
      </c>
      <c r="P29" s="26">
        <f>C8/1000</f>
        <v>1.5</v>
      </c>
    </row>
    <row r="30" spans="13:16" ht="15">
      <c r="M30" s="19">
        <f t="shared" si="0"/>
        <v>30</v>
      </c>
      <c r="N30" s="27" t="s">
        <v>75</v>
      </c>
      <c r="O30" s="20" t="s">
        <v>70</v>
      </c>
      <c r="P30" s="21">
        <f>VLOOKUP(C12,N3:Q4,4,FALSE)</f>
        <v>0.124</v>
      </c>
    </row>
    <row r="31" spans="13:16" ht="15">
      <c r="M31" s="19">
        <f t="shared" si="0"/>
        <v>31</v>
      </c>
      <c r="N31" s="27" t="s">
        <v>77</v>
      </c>
      <c r="O31" s="20" t="s">
        <v>71</v>
      </c>
      <c r="P31" s="21">
        <f>VLOOKUP(C13,N14:Q18,4,FALSE)</f>
        <v>0</v>
      </c>
    </row>
    <row r="32" spans="13:16" ht="15">
      <c r="M32" s="19">
        <f t="shared" si="0"/>
        <v>32</v>
      </c>
      <c r="N32" s="27" t="s">
        <v>76</v>
      </c>
      <c r="O32" s="20" t="s">
        <v>72</v>
      </c>
      <c r="P32" s="24">
        <f>(P28*P30*2)+((P29-2*P30)*P30*2)</f>
        <v>0.632896</v>
      </c>
    </row>
    <row r="33" spans="13:18" ht="15">
      <c r="M33" s="19">
        <f t="shared" si="0"/>
        <v>33</v>
      </c>
      <c r="N33" s="27" t="s">
        <v>78</v>
      </c>
      <c r="O33" s="20" t="s">
        <v>73</v>
      </c>
      <c r="P33" s="24">
        <f>((P29-P30*2)*P31)*C10</f>
        <v>0</v>
      </c>
      <c r="R33" s="12"/>
    </row>
    <row r="34" spans="13:20" ht="15">
      <c r="M34" s="19">
        <f t="shared" si="0"/>
        <v>34</v>
      </c>
      <c r="N34" s="27" t="s">
        <v>79</v>
      </c>
      <c r="O34" s="20" t="s">
        <v>74</v>
      </c>
      <c r="P34" s="24">
        <f>((P28-(P30*2)-(C10*P31))*P31)*C11</f>
        <v>0</v>
      </c>
      <c r="S34" s="25"/>
      <c r="T34" s="25"/>
    </row>
    <row r="35" spans="13:17" ht="15">
      <c r="M35" s="19">
        <f t="shared" si="0"/>
        <v>35</v>
      </c>
      <c r="N35" s="27" t="s">
        <v>80</v>
      </c>
      <c r="O35" s="20" t="s">
        <v>72</v>
      </c>
      <c r="P35" s="24">
        <f>P32+P33+P34</f>
        <v>0.632896</v>
      </c>
      <c r="Q35" s="1"/>
    </row>
    <row r="36" spans="13:16" ht="15">
      <c r="M36" s="19">
        <f t="shared" si="0"/>
        <v>36</v>
      </c>
      <c r="N36" s="27" t="s">
        <v>82</v>
      </c>
      <c r="O36" s="20" t="s">
        <v>81</v>
      </c>
      <c r="P36" s="24">
        <f>(P28*P29)-P35</f>
        <v>1.317104</v>
      </c>
    </row>
    <row r="37" spans="13:16" ht="15">
      <c r="M37" s="19">
        <f t="shared" si="0"/>
        <v>37</v>
      </c>
      <c r="N37" s="27" t="s">
        <v>83</v>
      </c>
      <c r="O37" s="20" t="s">
        <v>9</v>
      </c>
      <c r="P37" s="24">
        <f>P28*P29</f>
        <v>1.9500000000000002</v>
      </c>
    </row>
    <row r="38" spans="13:16" ht="15">
      <c r="M38" s="19">
        <f t="shared" si="0"/>
        <v>38</v>
      </c>
      <c r="N38" s="26" t="s">
        <v>85</v>
      </c>
      <c r="O38" s="20" t="s">
        <v>84</v>
      </c>
      <c r="P38" s="22">
        <f>VLOOKUP(C12,N3:Q4,2,FALSE)</f>
        <v>1.1</v>
      </c>
    </row>
    <row r="39" spans="13:16" ht="15">
      <c r="M39" s="19">
        <f t="shared" si="0"/>
        <v>39</v>
      </c>
      <c r="N39" s="26" t="s">
        <v>86</v>
      </c>
      <c r="O39" s="20" t="s">
        <v>87</v>
      </c>
      <c r="P39" s="23">
        <f>VLOOKUP(C13,N14:Q18,2,FALSE)</f>
        <v>0</v>
      </c>
    </row>
    <row r="40" spans="13:16" ht="15">
      <c r="M40" s="19">
        <f t="shared" si="0"/>
        <v>40</v>
      </c>
      <c r="N40" s="26" t="s">
        <v>88</v>
      </c>
      <c r="O40" s="20" t="s">
        <v>89</v>
      </c>
      <c r="P40" s="21">
        <f>C9</f>
        <v>0.7</v>
      </c>
    </row>
    <row r="41" spans="13:16" ht="15">
      <c r="M41" s="19">
        <f t="shared" si="0"/>
        <v>41</v>
      </c>
      <c r="N41" s="26" t="s">
        <v>95</v>
      </c>
      <c r="O41" s="20" t="s">
        <v>2</v>
      </c>
      <c r="P41" s="23">
        <f>VLOOKUP(C14,N50:O51,2,FALSE)</f>
        <v>0.04</v>
      </c>
    </row>
    <row r="42" spans="13:16" ht="15">
      <c r="M42" s="19">
        <f t="shared" si="0"/>
        <v>42</v>
      </c>
      <c r="N42" s="26" t="s">
        <v>94</v>
      </c>
      <c r="O42" s="20" t="s">
        <v>1</v>
      </c>
      <c r="P42" s="23">
        <f>P41</f>
        <v>0.04</v>
      </c>
    </row>
    <row r="43" spans="13:16" ht="15">
      <c r="M43" s="19">
        <f t="shared" si="0"/>
        <v>43</v>
      </c>
      <c r="N43" s="26" t="s">
        <v>96</v>
      </c>
      <c r="O43" s="20" t="s">
        <v>5</v>
      </c>
      <c r="P43" s="24">
        <f>(P28-P30*2-P31*C10)*2+(P29-P30*2-P31*C11)*2</f>
        <v>4.6080000000000005</v>
      </c>
    </row>
    <row r="44" spans="13:16" ht="15">
      <c r="M44" s="19">
        <f t="shared" si="0"/>
        <v>44</v>
      </c>
      <c r="N44" s="26" t="s">
        <v>97</v>
      </c>
      <c r="O44" s="20" t="s">
        <v>6</v>
      </c>
      <c r="P44" s="24">
        <f>((P29-2*P30)*2)*C10</f>
        <v>0</v>
      </c>
    </row>
    <row r="45" spans="13:16" ht="15">
      <c r="M45" s="19">
        <f t="shared" si="0"/>
        <v>45</v>
      </c>
      <c r="N45" s="26" t="s">
        <v>98</v>
      </c>
      <c r="O45" s="28" t="s">
        <v>99</v>
      </c>
      <c r="P45" s="24">
        <f>((P28-2*P30-C10*P31)*2)*C11</f>
        <v>0</v>
      </c>
    </row>
    <row r="46" spans="13:16" ht="15">
      <c r="M46" s="19">
        <f t="shared" si="0"/>
        <v>46</v>
      </c>
      <c r="N46" s="26" t="s">
        <v>100</v>
      </c>
      <c r="O46" s="28" t="s">
        <v>101</v>
      </c>
      <c r="P46" s="29">
        <f>P43+P44+P45</f>
        <v>4.6080000000000005</v>
      </c>
    </row>
    <row r="47" spans="13:16" ht="15">
      <c r="M47" s="19">
        <f t="shared" si="0"/>
        <v>47</v>
      </c>
      <c r="N47" s="26" t="s">
        <v>107</v>
      </c>
      <c r="O47" s="28" t="s">
        <v>55</v>
      </c>
      <c r="P47" s="12">
        <f>(P38*P32+P39*P33+P39*P34+P40*P36+P41*P43+P42*P44+P42*P45)/P37</f>
        <v>0.9243478974358974</v>
      </c>
    </row>
    <row r="49" spans="14:15" ht="15.75">
      <c r="N49" s="34" t="s">
        <v>109</v>
      </c>
      <c r="O49" s="16" t="s">
        <v>21</v>
      </c>
    </row>
    <row r="50" spans="14:15" ht="15">
      <c r="N50" s="13" t="s">
        <v>110</v>
      </c>
      <c r="O50" s="13">
        <v>0.07</v>
      </c>
    </row>
    <row r="51" spans="14:15" ht="15">
      <c r="N51" s="13" t="s">
        <v>111</v>
      </c>
      <c r="O51" s="13">
        <v>0.04</v>
      </c>
    </row>
  </sheetData>
  <sheetProtection/>
  <mergeCells count="4">
    <mergeCell ref="B2:K2"/>
    <mergeCell ref="B3:K3"/>
    <mergeCell ref="B4:K4"/>
    <mergeCell ref="B5:K5"/>
  </mergeCells>
  <dataValidations count="3">
    <dataValidation type="list" allowBlank="1" showInputMessage="1" showErrorMessage="1" promptTitle="Rama" prompt="Wybierz z listy" sqref="C12">
      <formula1>$N$3:$N$11</formula1>
    </dataValidation>
    <dataValidation type="list" allowBlank="1" showInputMessage="1" showErrorMessage="1" promptTitle="Skrzydło" prompt="Wybierz z listy" sqref="C13">
      <formula1>$N$14:$N$26</formula1>
    </dataValidation>
    <dataValidation type="list" allowBlank="1" showInputMessage="1" showErrorMessage="1" promptTitle="Ramka" prompt="Wybierz z listy" sqref="C14">
      <formula1>$N$50:$N$51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4"/>
  <headerFooter alignWithMargins="0">
    <oddFooter>&amp;L&amp;F&amp;RData wydruku &amp;D</oddFooter>
  </headerFooter>
  <drawing r:id="rId3"/>
  <legacyDrawing r:id="rId2"/>
  <oleObjects>
    <oleObject progId="Dokument" shapeId="6625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3"/>
  <sheetViews>
    <sheetView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" max="1" width="9.125" style="2" customWidth="1"/>
    <col min="2" max="2" width="20.00390625" style="2" bestFit="1" customWidth="1"/>
    <col min="3" max="3" width="17.875" style="2" bestFit="1" customWidth="1"/>
    <col min="4" max="4" width="10.375" style="3" bestFit="1" customWidth="1"/>
    <col min="5" max="5" width="6.25390625" style="2" bestFit="1" customWidth="1"/>
    <col min="6" max="6" width="6.875" style="2" bestFit="1" customWidth="1"/>
    <col min="7" max="7" width="7.75390625" style="2" bestFit="1" customWidth="1"/>
    <col min="8" max="8" width="7.375" style="2" bestFit="1" customWidth="1"/>
    <col min="9" max="9" width="4.125" style="2" bestFit="1" customWidth="1"/>
    <col min="10" max="10" width="7.00390625" style="2" bestFit="1" customWidth="1"/>
    <col min="11" max="11" width="9.75390625" style="2" bestFit="1" customWidth="1"/>
    <col min="12" max="12" width="9.125" style="2" customWidth="1"/>
    <col min="13" max="13" width="9.125" style="19" hidden="1" customWidth="1"/>
    <col min="14" max="14" width="24.125" style="12" hidden="1" customWidth="1"/>
    <col min="15" max="17" width="9.125" style="12" hidden="1" customWidth="1"/>
    <col min="18" max="18" width="14.125" style="1" customWidth="1"/>
    <col min="19" max="16384" width="9.125" style="1" customWidth="1"/>
  </cols>
  <sheetData>
    <row r="1" spans="13:17" ht="15.75">
      <c r="M1" s="19">
        <v>1</v>
      </c>
      <c r="N1" s="15" t="s">
        <v>12</v>
      </c>
      <c r="O1" s="15" t="s">
        <v>56</v>
      </c>
      <c r="P1" s="16" t="s">
        <v>21</v>
      </c>
      <c r="Q1" s="15" t="s">
        <v>22</v>
      </c>
    </row>
    <row r="2" spans="2:14" ht="15.75">
      <c r="B2" s="68" t="s">
        <v>147</v>
      </c>
      <c r="C2" s="68"/>
      <c r="D2" s="68"/>
      <c r="E2" s="68"/>
      <c r="F2" s="68"/>
      <c r="G2" s="68"/>
      <c r="H2" s="68"/>
      <c r="I2" s="68"/>
      <c r="J2" s="68"/>
      <c r="K2" s="68"/>
      <c r="M2" s="19">
        <f>M1+1</f>
        <v>2</v>
      </c>
      <c r="N2" s="18" t="s">
        <v>46</v>
      </c>
    </row>
    <row r="3" spans="2:17" ht="15.75">
      <c r="B3" s="68" t="s">
        <v>10</v>
      </c>
      <c r="C3" s="68"/>
      <c r="D3" s="68"/>
      <c r="E3" s="68"/>
      <c r="F3" s="68"/>
      <c r="G3" s="68"/>
      <c r="H3" s="68"/>
      <c r="I3" s="68"/>
      <c r="J3" s="68"/>
      <c r="K3" s="68"/>
      <c r="M3" s="19">
        <f aca="true" t="shared" si="0" ref="M3:M47">M2+1</f>
        <v>3</v>
      </c>
      <c r="N3" s="53" t="s">
        <v>181</v>
      </c>
      <c r="O3" s="17">
        <v>1.14</v>
      </c>
      <c r="P3" s="13"/>
      <c r="Q3" s="50">
        <v>0.07</v>
      </c>
    </row>
    <row r="4" spans="2:17" ht="15.75">
      <c r="B4" s="69" t="s">
        <v>204</v>
      </c>
      <c r="C4" s="69"/>
      <c r="D4" s="69"/>
      <c r="E4" s="69"/>
      <c r="F4" s="69"/>
      <c r="G4" s="69"/>
      <c r="H4" s="69"/>
      <c r="I4" s="69"/>
      <c r="J4" s="69"/>
      <c r="K4" s="69"/>
      <c r="M4" s="19">
        <f t="shared" si="0"/>
        <v>4</v>
      </c>
      <c r="N4" s="44" t="s">
        <v>142</v>
      </c>
      <c r="O4" s="17">
        <v>1.3</v>
      </c>
      <c r="P4" s="13"/>
      <c r="Q4" s="13">
        <v>0.119</v>
      </c>
    </row>
    <row r="5" spans="2:17" ht="15">
      <c r="B5" s="70"/>
      <c r="C5" s="70"/>
      <c r="D5" s="70"/>
      <c r="E5" s="70"/>
      <c r="F5" s="70"/>
      <c r="G5" s="70"/>
      <c r="H5" s="70"/>
      <c r="I5" s="70"/>
      <c r="J5" s="70"/>
      <c r="K5" s="70"/>
      <c r="M5" s="19">
        <f t="shared" si="0"/>
        <v>5</v>
      </c>
      <c r="N5" s="44" t="s">
        <v>143</v>
      </c>
      <c r="O5" s="17">
        <v>1.28</v>
      </c>
      <c r="P5" s="13"/>
      <c r="Q5" s="13">
        <v>0.119</v>
      </c>
    </row>
    <row r="6" spans="13:17" ht="15">
      <c r="M6" s="19">
        <f t="shared" si="0"/>
        <v>6</v>
      </c>
      <c r="N6" s="45" t="s">
        <v>182</v>
      </c>
      <c r="O6" s="17">
        <v>1.3</v>
      </c>
      <c r="P6" s="13"/>
      <c r="Q6" s="13">
        <v>0.124</v>
      </c>
    </row>
    <row r="7" spans="2:17" ht="15.75">
      <c r="B7" s="4" t="s">
        <v>7</v>
      </c>
      <c r="C7" s="10">
        <v>1300</v>
      </c>
      <c r="D7" s="2" t="s">
        <v>0</v>
      </c>
      <c r="E7" s="5" t="s">
        <v>51</v>
      </c>
      <c r="F7" s="8">
        <f>P38</f>
        <v>1.3</v>
      </c>
      <c r="G7" s="7" t="s">
        <v>4</v>
      </c>
      <c r="I7" s="5" t="s">
        <v>114</v>
      </c>
      <c r="J7" s="2">
        <f>P41</f>
        <v>0.04</v>
      </c>
      <c r="K7" s="6" t="s">
        <v>105</v>
      </c>
      <c r="M7" s="19">
        <f t="shared" si="0"/>
        <v>7</v>
      </c>
      <c r="N7" s="44" t="s">
        <v>183</v>
      </c>
      <c r="O7" s="17">
        <v>1.3</v>
      </c>
      <c r="P7" s="13"/>
      <c r="Q7" s="13">
        <v>0.124</v>
      </c>
    </row>
    <row r="8" spans="2:17" ht="15.75">
      <c r="B8" s="4" t="s">
        <v>8</v>
      </c>
      <c r="C8" s="10">
        <v>1500</v>
      </c>
      <c r="D8" s="2" t="s">
        <v>0</v>
      </c>
      <c r="E8" s="5" t="s">
        <v>52</v>
      </c>
      <c r="F8" s="8">
        <f>P39</f>
        <v>0</v>
      </c>
      <c r="G8" s="7" t="s">
        <v>4</v>
      </c>
      <c r="I8" s="5" t="s">
        <v>101</v>
      </c>
      <c r="J8" s="30">
        <f>P46</f>
        <v>4.648</v>
      </c>
      <c r="K8" s="6" t="s">
        <v>106</v>
      </c>
      <c r="M8" s="19">
        <f t="shared" si="0"/>
        <v>8</v>
      </c>
      <c r="N8" s="46"/>
      <c r="O8" s="17"/>
      <c r="P8" s="13"/>
      <c r="Q8" s="13"/>
    </row>
    <row r="9" spans="2:17" ht="15.75">
      <c r="B9" s="4" t="s">
        <v>3</v>
      </c>
      <c r="C9" s="35">
        <v>0.7</v>
      </c>
      <c r="D9" s="7" t="s">
        <v>4</v>
      </c>
      <c r="E9" s="5" t="s">
        <v>53</v>
      </c>
      <c r="F9" s="8">
        <f>P32</f>
        <v>0.609756</v>
      </c>
      <c r="G9" s="2" t="s">
        <v>102</v>
      </c>
      <c r="I9" s="5"/>
      <c r="J9" s="30"/>
      <c r="K9" s="6"/>
      <c r="M9" s="19">
        <f t="shared" si="0"/>
        <v>9</v>
      </c>
      <c r="N9" s="47"/>
      <c r="O9" s="13"/>
      <c r="P9" s="13"/>
      <c r="Q9" s="13"/>
    </row>
    <row r="10" spans="2:17" ht="15.75">
      <c r="B10" s="4" t="s">
        <v>68</v>
      </c>
      <c r="C10" s="11">
        <v>0</v>
      </c>
      <c r="D10" s="7"/>
      <c r="E10" s="5" t="s">
        <v>54</v>
      </c>
      <c r="F10" s="8">
        <f>P33+P34</f>
        <v>0</v>
      </c>
      <c r="G10" s="2" t="s">
        <v>102</v>
      </c>
      <c r="M10" s="19">
        <f t="shared" si="0"/>
        <v>10</v>
      </c>
      <c r="N10" s="49"/>
      <c r="O10" s="13"/>
      <c r="P10" s="13"/>
      <c r="Q10" s="13"/>
    </row>
    <row r="11" spans="2:17" ht="15.75">
      <c r="B11" s="4" t="s">
        <v>69</v>
      </c>
      <c r="C11" s="11">
        <v>0</v>
      </c>
      <c r="D11" s="7"/>
      <c r="E11" s="5" t="s">
        <v>103</v>
      </c>
      <c r="F11" s="36">
        <f>P40</f>
        <v>0.7</v>
      </c>
      <c r="G11" s="7" t="s">
        <v>4</v>
      </c>
      <c r="M11" s="19">
        <f t="shared" si="0"/>
        <v>11</v>
      </c>
      <c r="N11" s="49"/>
      <c r="O11" s="13"/>
      <c r="P11" s="13"/>
      <c r="Q11" s="50"/>
    </row>
    <row r="12" spans="2:13" ht="15.75">
      <c r="B12" s="4" t="s">
        <v>48</v>
      </c>
      <c r="C12" s="11" t="s">
        <v>142</v>
      </c>
      <c r="D12" s="2"/>
      <c r="E12" s="5" t="s">
        <v>104</v>
      </c>
      <c r="F12" s="8">
        <f>P36</f>
        <v>1.3402440000000002</v>
      </c>
      <c r="G12" s="2" t="s">
        <v>102</v>
      </c>
      <c r="M12" s="19">
        <f t="shared" si="0"/>
        <v>12</v>
      </c>
    </row>
    <row r="13" spans="2:17" ht="15.75">
      <c r="B13" s="4" t="s">
        <v>49</v>
      </c>
      <c r="C13" s="11">
        <v>0</v>
      </c>
      <c r="D13" s="2"/>
      <c r="M13" s="19">
        <f t="shared" si="0"/>
        <v>13</v>
      </c>
      <c r="N13" s="14">
        <v>0</v>
      </c>
      <c r="O13" s="17">
        <v>0</v>
      </c>
      <c r="P13" s="13"/>
      <c r="Q13" s="13">
        <v>0</v>
      </c>
    </row>
    <row r="14" spans="2:17" ht="15.75">
      <c r="B14" s="32" t="s">
        <v>113</v>
      </c>
      <c r="C14" s="11" t="s">
        <v>111</v>
      </c>
      <c r="D14" s="2"/>
      <c r="M14" s="19">
        <f t="shared" si="0"/>
        <v>14</v>
      </c>
      <c r="N14" s="14" t="s">
        <v>42</v>
      </c>
      <c r="O14" s="17">
        <v>1.38</v>
      </c>
      <c r="P14" s="13"/>
      <c r="Q14" s="13">
        <v>0.182</v>
      </c>
    </row>
    <row r="15" spans="4:17" ht="15">
      <c r="D15" s="2"/>
      <c r="M15" s="19">
        <f t="shared" si="0"/>
        <v>15</v>
      </c>
      <c r="N15" s="14" t="s">
        <v>43</v>
      </c>
      <c r="O15" s="17">
        <v>1.29</v>
      </c>
      <c r="P15" s="13"/>
      <c r="Q15" s="13">
        <v>0.162</v>
      </c>
    </row>
    <row r="16" spans="13:17" ht="15">
      <c r="M16" s="19">
        <f t="shared" si="0"/>
        <v>16</v>
      </c>
      <c r="N16" s="14" t="s">
        <v>39</v>
      </c>
      <c r="O16" s="17">
        <v>1.36</v>
      </c>
      <c r="P16" s="13"/>
      <c r="Q16" s="13">
        <v>0.182</v>
      </c>
    </row>
    <row r="17" spans="4:17" ht="15">
      <c r="D17" s="9"/>
      <c r="M17" s="19">
        <f t="shared" si="0"/>
        <v>17</v>
      </c>
      <c r="N17" s="14" t="s">
        <v>40</v>
      </c>
      <c r="O17" s="17">
        <v>1.28</v>
      </c>
      <c r="P17" s="13"/>
      <c r="Q17" s="13">
        <v>0.162</v>
      </c>
    </row>
    <row r="18" spans="4:17" ht="15">
      <c r="D18" s="9"/>
      <c r="M18" s="19">
        <f t="shared" si="0"/>
        <v>18</v>
      </c>
      <c r="N18" s="14" t="s">
        <v>27</v>
      </c>
      <c r="O18" s="17">
        <v>1.3</v>
      </c>
      <c r="P18" s="13"/>
      <c r="Q18" s="13">
        <v>0.192</v>
      </c>
    </row>
    <row r="19" spans="4:17" ht="15">
      <c r="D19" s="9"/>
      <c r="M19" s="19">
        <f t="shared" si="0"/>
        <v>19</v>
      </c>
      <c r="N19" s="14" t="s">
        <v>29</v>
      </c>
      <c r="O19" s="17">
        <v>1.3</v>
      </c>
      <c r="P19" s="13"/>
      <c r="Q19" s="13">
        <v>0.172</v>
      </c>
    </row>
    <row r="20" spans="4:17" ht="15">
      <c r="D20" s="9"/>
      <c r="M20" s="19">
        <f t="shared" si="0"/>
        <v>20</v>
      </c>
      <c r="N20" s="14" t="s">
        <v>28</v>
      </c>
      <c r="O20" s="17">
        <v>1.3</v>
      </c>
      <c r="P20" s="13"/>
      <c r="Q20" s="13">
        <v>0.192</v>
      </c>
    </row>
    <row r="21" spans="4:17" ht="15">
      <c r="D21" s="9"/>
      <c r="M21" s="19">
        <f t="shared" si="0"/>
        <v>21</v>
      </c>
      <c r="N21" s="14" t="s">
        <v>30</v>
      </c>
      <c r="O21" s="17">
        <v>1.3</v>
      </c>
      <c r="P21" s="13"/>
      <c r="Q21" s="13">
        <v>0.172</v>
      </c>
    </row>
    <row r="22" spans="4:17" ht="15">
      <c r="D22" s="9"/>
      <c r="M22" s="19">
        <f t="shared" si="0"/>
        <v>22</v>
      </c>
      <c r="N22" s="14" t="s">
        <v>45</v>
      </c>
      <c r="O22" s="17">
        <v>1.42</v>
      </c>
      <c r="P22" s="13"/>
      <c r="Q22" s="13">
        <v>0.182</v>
      </c>
    </row>
    <row r="23" spans="4:17" ht="15">
      <c r="D23" s="9"/>
      <c r="M23" s="19">
        <f t="shared" si="0"/>
        <v>23</v>
      </c>
      <c r="N23" s="14" t="s">
        <v>50</v>
      </c>
      <c r="O23" s="17">
        <v>1.31</v>
      </c>
      <c r="P23" s="13"/>
      <c r="Q23" s="13">
        <v>0.162</v>
      </c>
    </row>
    <row r="24" spans="4:17" ht="15">
      <c r="D24" s="9"/>
      <c r="M24" s="19">
        <f t="shared" si="0"/>
        <v>24</v>
      </c>
      <c r="N24" s="14" t="s">
        <v>184</v>
      </c>
      <c r="O24" s="17">
        <v>1.38</v>
      </c>
      <c r="P24" s="13"/>
      <c r="Q24" s="13">
        <v>0.202</v>
      </c>
    </row>
    <row r="25" spans="4:17" ht="15">
      <c r="D25" s="9"/>
      <c r="M25" s="19">
        <f t="shared" si="0"/>
        <v>25</v>
      </c>
      <c r="N25" s="14" t="s">
        <v>185</v>
      </c>
      <c r="O25" s="17">
        <v>1.37</v>
      </c>
      <c r="P25" s="13"/>
      <c r="Q25" s="13">
        <v>0.205</v>
      </c>
    </row>
    <row r="26" spans="13:17" ht="15.75" thickBot="1">
      <c r="M26" s="19">
        <f t="shared" si="0"/>
        <v>26</v>
      </c>
      <c r="N26" s="51">
        <v>140041</v>
      </c>
      <c r="O26" s="52">
        <v>1.2</v>
      </c>
      <c r="P26" s="51"/>
      <c r="Q26" s="51">
        <v>0.084</v>
      </c>
    </row>
    <row r="27" spans="5:17" ht="19.5" thickBot="1" thickTop="1">
      <c r="E27" s="60" t="s">
        <v>55</v>
      </c>
      <c r="F27" s="61">
        <f>P47</f>
        <v>0.9829608205128205</v>
      </c>
      <c r="G27" s="62" t="s">
        <v>4</v>
      </c>
      <c r="H27" s="63"/>
      <c r="M27" s="19">
        <f t="shared" si="0"/>
        <v>27</v>
      </c>
      <c r="N27" s="51">
        <v>170045</v>
      </c>
      <c r="O27" s="51">
        <v>1.26</v>
      </c>
      <c r="P27" s="51"/>
      <c r="Q27" s="51">
        <v>0.104</v>
      </c>
    </row>
    <row r="28" spans="13:16" ht="15.75" thickTop="1">
      <c r="M28" s="19">
        <f t="shared" si="0"/>
        <v>28</v>
      </c>
      <c r="N28" s="26" t="s">
        <v>90</v>
      </c>
      <c r="O28" s="28" t="s">
        <v>92</v>
      </c>
      <c r="P28" s="26">
        <f>C7/1000</f>
        <v>1.3</v>
      </c>
    </row>
    <row r="29" spans="2:16" ht="15">
      <c r="B29" s="31" t="s">
        <v>108</v>
      </c>
      <c r="M29" s="19">
        <f t="shared" si="0"/>
        <v>29</v>
      </c>
      <c r="N29" s="26" t="s">
        <v>91</v>
      </c>
      <c r="O29" s="28" t="s">
        <v>93</v>
      </c>
      <c r="P29" s="26">
        <f>C8/1000</f>
        <v>1.5</v>
      </c>
    </row>
    <row r="30" spans="13:16" ht="15">
      <c r="M30" s="19">
        <f t="shared" si="0"/>
        <v>30</v>
      </c>
      <c r="N30" s="27" t="s">
        <v>75</v>
      </c>
      <c r="O30" s="20" t="s">
        <v>70</v>
      </c>
      <c r="P30" s="21">
        <f>VLOOKUP(C12,N3:Q11,4,FALSE)</f>
        <v>0.119</v>
      </c>
    </row>
    <row r="31" spans="13:16" ht="15">
      <c r="M31" s="19">
        <f t="shared" si="0"/>
        <v>31</v>
      </c>
      <c r="N31" s="27" t="s">
        <v>77</v>
      </c>
      <c r="O31" s="20" t="s">
        <v>71</v>
      </c>
      <c r="P31" s="21">
        <f>VLOOKUP(C13,N13:Q27,4,FALSE)</f>
        <v>0</v>
      </c>
    </row>
    <row r="32" spans="13:16" ht="15">
      <c r="M32" s="19">
        <f t="shared" si="0"/>
        <v>32</v>
      </c>
      <c r="N32" s="27" t="s">
        <v>76</v>
      </c>
      <c r="O32" s="20" t="s">
        <v>72</v>
      </c>
      <c r="P32" s="24">
        <f>(P28*P30*2)+((P29-2*P30)*P30*2)</f>
        <v>0.609756</v>
      </c>
    </row>
    <row r="33" spans="13:18" ht="15">
      <c r="M33" s="19">
        <f t="shared" si="0"/>
        <v>33</v>
      </c>
      <c r="N33" s="27" t="s">
        <v>78</v>
      </c>
      <c r="O33" s="20" t="s">
        <v>73</v>
      </c>
      <c r="P33" s="24">
        <f>((P29-P30*2)*P31)*C10</f>
        <v>0</v>
      </c>
      <c r="R33" s="12"/>
    </row>
    <row r="34" spans="13:20" ht="15">
      <c r="M34" s="19">
        <f t="shared" si="0"/>
        <v>34</v>
      </c>
      <c r="N34" s="27" t="s">
        <v>79</v>
      </c>
      <c r="O34" s="20" t="s">
        <v>74</v>
      </c>
      <c r="P34" s="24">
        <f>((P28-(P30*2)-(C10*P31))*P31)*C11</f>
        <v>0</v>
      </c>
      <c r="S34" s="25"/>
      <c r="T34" s="25"/>
    </row>
    <row r="35" spans="13:17" ht="15">
      <c r="M35" s="19">
        <f t="shared" si="0"/>
        <v>35</v>
      </c>
      <c r="N35" s="27" t="s">
        <v>80</v>
      </c>
      <c r="O35" s="20" t="s">
        <v>72</v>
      </c>
      <c r="P35" s="24">
        <f>P32+P33+P34</f>
        <v>0.609756</v>
      </c>
      <c r="Q35" s="1"/>
    </row>
    <row r="36" spans="13:16" ht="15">
      <c r="M36" s="19">
        <f t="shared" si="0"/>
        <v>36</v>
      </c>
      <c r="N36" s="27" t="s">
        <v>82</v>
      </c>
      <c r="O36" s="20" t="s">
        <v>81</v>
      </c>
      <c r="P36" s="24">
        <f>(P28*P29)-P35</f>
        <v>1.3402440000000002</v>
      </c>
    </row>
    <row r="37" spans="13:16" ht="15">
      <c r="M37" s="19">
        <f t="shared" si="0"/>
        <v>37</v>
      </c>
      <c r="N37" s="27" t="s">
        <v>83</v>
      </c>
      <c r="O37" s="20" t="s">
        <v>9</v>
      </c>
      <c r="P37" s="24">
        <f>P28*P29</f>
        <v>1.9500000000000002</v>
      </c>
    </row>
    <row r="38" spans="13:16" ht="15">
      <c r="M38" s="19">
        <f t="shared" si="0"/>
        <v>38</v>
      </c>
      <c r="N38" s="26" t="s">
        <v>85</v>
      </c>
      <c r="O38" s="20" t="s">
        <v>84</v>
      </c>
      <c r="P38" s="22">
        <f>VLOOKUP(C12,N3:Q11,2,FALSE)</f>
        <v>1.3</v>
      </c>
    </row>
    <row r="39" spans="13:16" ht="15">
      <c r="M39" s="19">
        <f t="shared" si="0"/>
        <v>39</v>
      </c>
      <c r="N39" s="26" t="s">
        <v>86</v>
      </c>
      <c r="O39" s="20" t="s">
        <v>87</v>
      </c>
      <c r="P39" s="23">
        <f>VLOOKUP(C13,N13:Q27,2,FALSE)</f>
        <v>0</v>
      </c>
    </row>
    <row r="40" spans="13:16" ht="15">
      <c r="M40" s="19">
        <f t="shared" si="0"/>
        <v>40</v>
      </c>
      <c r="N40" s="26" t="s">
        <v>88</v>
      </c>
      <c r="O40" s="20" t="s">
        <v>89</v>
      </c>
      <c r="P40" s="21">
        <f>C9</f>
        <v>0.7</v>
      </c>
    </row>
    <row r="41" spans="13:16" ht="15">
      <c r="M41" s="19">
        <f t="shared" si="0"/>
        <v>41</v>
      </c>
      <c r="N41" s="26" t="s">
        <v>95</v>
      </c>
      <c r="O41" s="20" t="s">
        <v>2</v>
      </c>
      <c r="P41" s="23">
        <f>VLOOKUP(C14,N50:O51,2)</f>
        <v>0.04</v>
      </c>
    </row>
    <row r="42" spans="13:16" ht="15">
      <c r="M42" s="19">
        <f t="shared" si="0"/>
        <v>42</v>
      </c>
      <c r="N42" s="26" t="s">
        <v>94</v>
      </c>
      <c r="O42" s="20" t="s">
        <v>1</v>
      </c>
      <c r="P42" s="23">
        <f>P41</f>
        <v>0.04</v>
      </c>
    </row>
    <row r="43" spans="13:16" ht="15">
      <c r="M43" s="19">
        <f t="shared" si="0"/>
        <v>43</v>
      </c>
      <c r="N43" s="26" t="s">
        <v>96</v>
      </c>
      <c r="O43" s="20" t="s">
        <v>5</v>
      </c>
      <c r="P43" s="24">
        <f>(P28-P30*2-P31*C10)*2+(P29-P30*2-P31*C11)*2</f>
        <v>4.648</v>
      </c>
    </row>
    <row r="44" spans="13:16" ht="15">
      <c r="M44" s="19">
        <f t="shared" si="0"/>
        <v>44</v>
      </c>
      <c r="N44" s="26" t="s">
        <v>97</v>
      </c>
      <c r="O44" s="20" t="s">
        <v>6</v>
      </c>
      <c r="P44" s="24">
        <f>((P29-2*P30)*2)*C10</f>
        <v>0</v>
      </c>
    </row>
    <row r="45" spans="13:16" ht="15">
      <c r="M45" s="19">
        <f t="shared" si="0"/>
        <v>45</v>
      </c>
      <c r="N45" s="26" t="s">
        <v>98</v>
      </c>
      <c r="O45" s="28" t="s">
        <v>99</v>
      </c>
      <c r="P45" s="24">
        <f>((P28-2*P30-C10*P31)*2)*C11</f>
        <v>0</v>
      </c>
    </row>
    <row r="46" spans="13:16" ht="15">
      <c r="M46" s="19">
        <f t="shared" si="0"/>
        <v>46</v>
      </c>
      <c r="N46" s="26" t="s">
        <v>100</v>
      </c>
      <c r="O46" s="28" t="s">
        <v>101</v>
      </c>
      <c r="P46" s="29">
        <f>P43+P44+P45</f>
        <v>4.648</v>
      </c>
    </row>
    <row r="47" spans="13:16" ht="15">
      <c r="M47" s="19">
        <f t="shared" si="0"/>
        <v>47</v>
      </c>
      <c r="N47" s="26" t="s">
        <v>107</v>
      </c>
      <c r="O47" s="28" t="s">
        <v>55</v>
      </c>
      <c r="P47" s="12">
        <f>(P38*P32+P39*P33+P39*P34+P40*P36+P41*P43+P42*P44+P42*P45)/P37</f>
        <v>0.9829608205128205</v>
      </c>
    </row>
    <row r="49" spans="14:15" ht="15.75">
      <c r="N49" s="34" t="s">
        <v>109</v>
      </c>
      <c r="O49" s="16" t="s">
        <v>21</v>
      </c>
    </row>
    <row r="50" spans="14:18" ht="15.75">
      <c r="N50" s="13" t="s">
        <v>110</v>
      </c>
      <c r="O50" s="13">
        <v>0.07</v>
      </c>
      <c r="R50" s="33" t="s">
        <v>112</v>
      </c>
    </row>
    <row r="51" spans="14:17" ht="15">
      <c r="N51" s="13" t="s">
        <v>111</v>
      </c>
      <c r="O51" s="13">
        <v>0.04</v>
      </c>
      <c r="Q51"/>
    </row>
    <row r="53" ht="15">
      <c r="N53"/>
    </row>
  </sheetData>
  <sheetProtection/>
  <mergeCells count="4">
    <mergeCell ref="B2:K2"/>
    <mergeCell ref="B3:K3"/>
    <mergeCell ref="B4:K4"/>
    <mergeCell ref="B5:K5"/>
  </mergeCells>
  <dataValidations count="3">
    <dataValidation type="list" allowBlank="1" showInputMessage="1" showErrorMessage="1" promptTitle="Ramka" prompt="Wybierz z listy" sqref="C14">
      <formula1>$N$50:$N$51</formula1>
    </dataValidation>
    <dataValidation type="list" allowBlank="1" showInputMessage="1" showErrorMessage="1" promptTitle="Skrzydło" prompt="Wybierz z listy" sqref="C13">
      <formula1>$N$13:$N$27</formula1>
    </dataValidation>
    <dataValidation type="list" allowBlank="1" showInputMessage="1" showErrorMessage="1" promptTitle="Rama" prompt="Wybierz z listy" sqref="C12">
      <formula1>$N$3:$N$11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6"/>
  <drawing r:id="rId5"/>
  <legacyDrawing r:id="rId2"/>
  <oleObjects>
    <oleObject progId="Dokument" shapeId="662577" r:id="rId1"/>
  </oleObjects>
  <tableParts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3"/>
  <sheetViews>
    <sheetView zoomScale="90" zoomScaleNormal="90" zoomScalePageLayoutView="0" workbookViewId="0" topLeftCell="A1">
      <selection activeCell="C9" sqref="C9"/>
    </sheetView>
  </sheetViews>
  <sheetFormatPr defaultColWidth="9.00390625" defaultRowHeight="12.75"/>
  <cols>
    <col min="1" max="1" width="9.125" style="2" customWidth="1"/>
    <col min="2" max="2" width="20.00390625" style="2" bestFit="1" customWidth="1"/>
    <col min="3" max="3" width="17.875" style="2" bestFit="1" customWidth="1"/>
    <col min="4" max="4" width="10.375" style="3" bestFit="1" customWidth="1"/>
    <col min="5" max="5" width="6.25390625" style="2" bestFit="1" customWidth="1"/>
    <col min="6" max="6" width="6.875" style="2" bestFit="1" customWidth="1"/>
    <col min="7" max="7" width="7.75390625" style="2" bestFit="1" customWidth="1"/>
    <col min="8" max="8" width="7.375" style="2" bestFit="1" customWidth="1"/>
    <col min="9" max="9" width="4.125" style="2" bestFit="1" customWidth="1"/>
    <col min="10" max="10" width="7.00390625" style="2" bestFit="1" customWidth="1"/>
    <col min="11" max="11" width="9.75390625" style="2" bestFit="1" customWidth="1"/>
    <col min="12" max="12" width="9.125" style="2" customWidth="1"/>
    <col min="13" max="13" width="9.125" style="19" hidden="1" customWidth="1"/>
    <col min="14" max="14" width="24.125" style="12" hidden="1" customWidth="1"/>
    <col min="15" max="17" width="9.125" style="12" hidden="1" customWidth="1"/>
    <col min="18" max="18" width="14.125" style="1" customWidth="1"/>
    <col min="19" max="16384" width="9.125" style="1" customWidth="1"/>
  </cols>
  <sheetData>
    <row r="1" spans="13:17" ht="15.75">
      <c r="M1" s="19">
        <v>1</v>
      </c>
      <c r="N1" s="15" t="s">
        <v>12</v>
      </c>
      <c r="O1" s="15" t="s">
        <v>56</v>
      </c>
      <c r="P1" s="16" t="s">
        <v>21</v>
      </c>
      <c r="Q1" s="15" t="s">
        <v>22</v>
      </c>
    </row>
    <row r="2" spans="2:14" ht="15.75">
      <c r="B2" s="68" t="s">
        <v>147</v>
      </c>
      <c r="C2" s="68"/>
      <c r="D2" s="68"/>
      <c r="E2" s="68"/>
      <c r="F2" s="68"/>
      <c r="G2" s="68"/>
      <c r="H2" s="68"/>
      <c r="I2" s="68"/>
      <c r="J2" s="68"/>
      <c r="K2" s="68"/>
      <c r="M2" s="19">
        <f>M1+1</f>
        <v>2</v>
      </c>
      <c r="N2" s="18" t="s">
        <v>46</v>
      </c>
    </row>
    <row r="3" spans="2:17" ht="15.75">
      <c r="B3" s="68" t="s">
        <v>10</v>
      </c>
      <c r="C3" s="68"/>
      <c r="D3" s="68"/>
      <c r="E3" s="68"/>
      <c r="F3" s="68"/>
      <c r="G3" s="68"/>
      <c r="H3" s="68"/>
      <c r="I3" s="68"/>
      <c r="J3" s="68"/>
      <c r="K3" s="68"/>
      <c r="M3" s="19">
        <f aca="true" t="shared" si="0" ref="M3:M47">M2+1</f>
        <v>3</v>
      </c>
      <c r="N3" s="57" t="s">
        <v>200</v>
      </c>
      <c r="O3" s="55" t="s">
        <v>214</v>
      </c>
      <c r="P3" s="13"/>
      <c r="Q3" s="50">
        <v>0.119</v>
      </c>
    </row>
    <row r="4" spans="2:17" ht="15.75">
      <c r="B4" s="69" t="s">
        <v>203</v>
      </c>
      <c r="C4" s="69"/>
      <c r="D4" s="69"/>
      <c r="E4" s="69"/>
      <c r="F4" s="69"/>
      <c r="G4" s="69"/>
      <c r="H4" s="69"/>
      <c r="I4" s="69"/>
      <c r="J4" s="69"/>
      <c r="K4" s="69"/>
      <c r="M4" s="19">
        <f t="shared" si="0"/>
        <v>4</v>
      </c>
      <c r="N4" s="58" t="s">
        <v>215</v>
      </c>
      <c r="O4" s="55">
        <v>0.82</v>
      </c>
      <c r="P4" s="13"/>
      <c r="Q4" s="13">
        <v>0.119</v>
      </c>
    </row>
    <row r="5" spans="2:17" ht="15">
      <c r="B5" s="70"/>
      <c r="C5" s="70"/>
      <c r="D5" s="70"/>
      <c r="E5" s="70"/>
      <c r="F5" s="70"/>
      <c r="G5" s="70"/>
      <c r="H5" s="70"/>
      <c r="I5" s="70"/>
      <c r="J5" s="70"/>
      <c r="K5" s="70"/>
      <c r="M5" s="19">
        <f t="shared" si="0"/>
        <v>5</v>
      </c>
      <c r="N5" s="54" t="s">
        <v>201</v>
      </c>
      <c r="O5" s="55">
        <v>1</v>
      </c>
      <c r="P5" s="13"/>
      <c r="Q5" s="13">
        <v>0.119</v>
      </c>
    </row>
    <row r="6" spans="13:17" ht="15">
      <c r="M6" s="19">
        <f t="shared" si="0"/>
        <v>6</v>
      </c>
      <c r="N6" s="54" t="s">
        <v>202</v>
      </c>
      <c r="O6" s="55">
        <v>1</v>
      </c>
      <c r="P6" s="13"/>
      <c r="Q6" s="13">
        <v>0.119</v>
      </c>
    </row>
    <row r="7" spans="2:17" ht="15.75">
      <c r="B7" s="4" t="s">
        <v>7</v>
      </c>
      <c r="C7" s="10">
        <v>1200</v>
      </c>
      <c r="D7" s="2" t="s">
        <v>0</v>
      </c>
      <c r="E7" s="5" t="s">
        <v>51</v>
      </c>
      <c r="F7" s="8">
        <f>P38</f>
        <v>1</v>
      </c>
      <c r="G7" s="7" t="s">
        <v>4</v>
      </c>
      <c r="I7" s="5" t="s">
        <v>114</v>
      </c>
      <c r="J7" s="2">
        <f>P41</f>
        <v>0.04</v>
      </c>
      <c r="K7" s="6" t="s">
        <v>105</v>
      </c>
      <c r="M7" s="19">
        <f t="shared" si="0"/>
        <v>7</v>
      </c>
      <c r="N7" s="13" t="s">
        <v>205</v>
      </c>
      <c r="O7" s="55">
        <v>1.1</v>
      </c>
      <c r="P7" s="13"/>
      <c r="Q7" s="13">
        <v>0.119</v>
      </c>
    </row>
    <row r="8" spans="2:17" ht="15.75">
      <c r="B8" s="4" t="s">
        <v>8</v>
      </c>
      <c r="C8" s="10">
        <v>1400</v>
      </c>
      <c r="D8" s="2" t="s">
        <v>0</v>
      </c>
      <c r="E8" s="5" t="s">
        <v>52</v>
      </c>
      <c r="F8" s="8">
        <f>P39</f>
        <v>0</v>
      </c>
      <c r="G8" s="7" t="s">
        <v>4</v>
      </c>
      <c r="I8" s="5" t="s">
        <v>101</v>
      </c>
      <c r="J8" s="30">
        <f>P46</f>
        <v>4.247999999999999</v>
      </c>
      <c r="K8" s="6" t="s">
        <v>106</v>
      </c>
      <c r="M8" s="19">
        <f t="shared" si="0"/>
        <v>8</v>
      </c>
      <c r="N8" s="56" t="s">
        <v>226</v>
      </c>
      <c r="O8" s="55">
        <v>1</v>
      </c>
      <c r="P8" s="13"/>
      <c r="Q8" s="13">
        <v>0.119</v>
      </c>
    </row>
    <row r="9" spans="2:17" ht="15.75">
      <c r="B9" s="4" t="s">
        <v>3</v>
      </c>
      <c r="C9" s="35">
        <v>1</v>
      </c>
      <c r="D9" s="7" t="s">
        <v>4</v>
      </c>
      <c r="E9" s="5" t="s">
        <v>53</v>
      </c>
      <c r="F9" s="8">
        <f>P32</f>
        <v>0.5621559999999999</v>
      </c>
      <c r="G9" s="2" t="s">
        <v>102</v>
      </c>
      <c r="I9" s="5"/>
      <c r="J9" s="30"/>
      <c r="K9" s="6"/>
      <c r="M9" s="19">
        <f t="shared" si="0"/>
        <v>9</v>
      </c>
      <c r="N9" s="56" t="s">
        <v>227</v>
      </c>
      <c r="O9" s="55">
        <v>1</v>
      </c>
      <c r="P9" s="13"/>
      <c r="Q9" s="13">
        <v>0.119</v>
      </c>
    </row>
    <row r="10" spans="2:17" ht="15.75">
      <c r="B10" s="4" t="s">
        <v>68</v>
      </c>
      <c r="C10" s="11">
        <v>0</v>
      </c>
      <c r="D10" s="7"/>
      <c r="E10" s="5" t="s">
        <v>54</v>
      </c>
      <c r="F10" s="8">
        <f>P33+P34</f>
        <v>0</v>
      </c>
      <c r="G10" s="2" t="s">
        <v>102</v>
      </c>
      <c r="M10" s="19">
        <f t="shared" si="0"/>
        <v>10</v>
      </c>
      <c r="N10" s="54"/>
      <c r="O10" s="54"/>
      <c r="P10" s="13"/>
      <c r="Q10" s="13"/>
    </row>
    <row r="11" spans="2:17" ht="15.75">
      <c r="B11" s="4" t="s">
        <v>69</v>
      </c>
      <c r="C11" s="11">
        <v>0</v>
      </c>
      <c r="D11" s="7"/>
      <c r="E11" s="5" t="s">
        <v>103</v>
      </c>
      <c r="F11" s="36">
        <f>P40</f>
        <v>1</v>
      </c>
      <c r="G11" s="7" t="s">
        <v>4</v>
      </c>
      <c r="M11" s="19">
        <f t="shared" si="0"/>
        <v>11</v>
      </c>
      <c r="N11" s="54"/>
      <c r="O11" s="54"/>
      <c r="P11" s="13"/>
      <c r="Q11" s="50"/>
    </row>
    <row r="12" spans="2:13" ht="15.75">
      <c r="B12" s="4" t="s">
        <v>48</v>
      </c>
      <c r="C12" s="37" t="s">
        <v>226</v>
      </c>
      <c r="D12" s="2"/>
      <c r="E12" s="5" t="s">
        <v>104</v>
      </c>
      <c r="F12" s="8">
        <f>P36</f>
        <v>1.117844</v>
      </c>
      <c r="G12" s="2" t="s">
        <v>102</v>
      </c>
      <c r="M12" s="19">
        <f t="shared" si="0"/>
        <v>12</v>
      </c>
    </row>
    <row r="13" spans="2:17" ht="15.75">
      <c r="B13" s="4" t="s">
        <v>49</v>
      </c>
      <c r="C13" s="37">
        <v>0</v>
      </c>
      <c r="D13" s="2"/>
      <c r="M13" s="19">
        <f t="shared" si="0"/>
        <v>13</v>
      </c>
      <c r="N13" s="14">
        <v>0</v>
      </c>
      <c r="O13" s="17">
        <v>0</v>
      </c>
      <c r="P13" s="13"/>
      <c r="Q13" s="13">
        <v>0</v>
      </c>
    </row>
    <row r="14" spans="2:17" ht="15.75">
      <c r="B14" s="32" t="s">
        <v>113</v>
      </c>
      <c r="C14" s="11" t="s">
        <v>111</v>
      </c>
      <c r="D14" s="2"/>
      <c r="M14" s="19">
        <f t="shared" si="0"/>
        <v>14</v>
      </c>
      <c r="N14" s="14" t="s">
        <v>206</v>
      </c>
      <c r="O14" s="17">
        <v>0.98</v>
      </c>
      <c r="P14" s="13"/>
      <c r="Q14" s="13">
        <v>0.182</v>
      </c>
    </row>
    <row r="15" spans="4:17" ht="15">
      <c r="D15" s="2"/>
      <c r="M15" s="19">
        <f t="shared" si="0"/>
        <v>15</v>
      </c>
      <c r="N15" s="14" t="s">
        <v>207</v>
      </c>
      <c r="O15" s="17">
        <v>0.98</v>
      </c>
      <c r="P15" s="13"/>
      <c r="Q15" s="13">
        <v>0.142</v>
      </c>
    </row>
    <row r="16" spans="13:17" ht="15">
      <c r="M16" s="19">
        <f t="shared" si="0"/>
        <v>16</v>
      </c>
      <c r="N16" s="59" t="s">
        <v>216</v>
      </c>
      <c r="O16" s="17">
        <v>0.82</v>
      </c>
      <c r="P16" s="13"/>
      <c r="Q16" s="13">
        <v>0.182</v>
      </c>
    </row>
    <row r="17" spans="4:17" ht="15">
      <c r="D17" s="9"/>
      <c r="M17" s="19">
        <f t="shared" si="0"/>
        <v>17</v>
      </c>
      <c r="N17" s="14" t="s">
        <v>217</v>
      </c>
      <c r="O17" s="17">
        <v>0.82</v>
      </c>
      <c r="P17" s="13"/>
      <c r="Q17" s="13">
        <v>0.142</v>
      </c>
    </row>
    <row r="18" spans="4:17" ht="15">
      <c r="D18" s="9"/>
      <c r="M18" s="19">
        <f t="shared" si="0"/>
        <v>18</v>
      </c>
      <c r="N18" s="14" t="s">
        <v>208</v>
      </c>
      <c r="O18" s="17">
        <v>1</v>
      </c>
      <c r="P18" s="13"/>
      <c r="Q18" s="13">
        <v>0.182</v>
      </c>
    </row>
    <row r="19" spans="4:17" ht="15">
      <c r="D19" s="9"/>
      <c r="M19" s="19">
        <f t="shared" si="0"/>
        <v>19</v>
      </c>
      <c r="N19" s="14" t="s">
        <v>209</v>
      </c>
      <c r="O19" s="17">
        <v>1</v>
      </c>
      <c r="P19" s="13"/>
      <c r="Q19" s="13">
        <v>0.142</v>
      </c>
    </row>
    <row r="20" spans="4:17" ht="15">
      <c r="D20" s="9"/>
      <c r="M20" s="19">
        <f t="shared" si="0"/>
        <v>20</v>
      </c>
      <c r="N20" s="14" t="s">
        <v>210</v>
      </c>
      <c r="O20" s="17">
        <v>1</v>
      </c>
      <c r="P20" s="13"/>
      <c r="Q20" s="13">
        <v>0.182</v>
      </c>
    </row>
    <row r="21" spans="4:17" ht="15">
      <c r="D21" s="9"/>
      <c r="M21" s="19">
        <f t="shared" si="0"/>
        <v>21</v>
      </c>
      <c r="N21" s="14" t="s">
        <v>211</v>
      </c>
      <c r="O21" s="17">
        <v>1</v>
      </c>
      <c r="P21" s="13"/>
      <c r="Q21" s="13">
        <v>0.142</v>
      </c>
    </row>
    <row r="22" spans="4:17" ht="15">
      <c r="D22" s="9"/>
      <c r="M22" s="19">
        <f t="shared" si="0"/>
        <v>22</v>
      </c>
      <c r="N22" s="14" t="s">
        <v>212</v>
      </c>
      <c r="O22" s="17">
        <v>1.1</v>
      </c>
      <c r="P22" s="13"/>
      <c r="Q22" s="13">
        <v>0.182</v>
      </c>
    </row>
    <row r="23" spans="4:17" ht="15">
      <c r="D23" s="9"/>
      <c r="M23" s="19">
        <f t="shared" si="0"/>
        <v>23</v>
      </c>
      <c r="N23" s="14" t="s">
        <v>213</v>
      </c>
      <c r="O23" s="17">
        <v>1.1</v>
      </c>
      <c r="P23" s="13"/>
      <c r="Q23" s="13">
        <v>0.142</v>
      </c>
    </row>
    <row r="24" spans="4:17" ht="15">
      <c r="D24" s="9"/>
      <c r="M24" s="19">
        <f t="shared" si="0"/>
        <v>24</v>
      </c>
      <c r="N24" s="14" t="s">
        <v>228</v>
      </c>
      <c r="O24" s="17">
        <v>1</v>
      </c>
      <c r="P24" s="13"/>
      <c r="Q24" s="13">
        <v>0.182</v>
      </c>
    </row>
    <row r="25" spans="4:17" ht="15">
      <c r="D25" s="9"/>
      <c r="M25" s="19">
        <f t="shared" si="0"/>
        <v>25</v>
      </c>
      <c r="N25" s="14" t="s">
        <v>229</v>
      </c>
      <c r="O25" s="17">
        <v>1</v>
      </c>
      <c r="P25" s="13"/>
      <c r="Q25" s="13">
        <v>0.182</v>
      </c>
    </row>
    <row r="26" spans="13:17" ht="15.75" thickBot="1">
      <c r="M26" s="19">
        <f t="shared" si="0"/>
        <v>26</v>
      </c>
      <c r="N26" s="51"/>
      <c r="O26" s="52"/>
      <c r="P26" s="51"/>
      <c r="Q26" s="51"/>
    </row>
    <row r="27" spans="5:17" ht="19.5" thickBot="1" thickTop="1">
      <c r="E27" s="60" t="s">
        <v>55</v>
      </c>
      <c r="F27" s="61">
        <f>P47</f>
        <v>1.1011428571428572</v>
      </c>
      <c r="G27" s="62" t="s">
        <v>4</v>
      </c>
      <c r="H27" s="63"/>
      <c r="M27" s="19">
        <f t="shared" si="0"/>
        <v>27</v>
      </c>
      <c r="N27" s="51"/>
      <c r="O27" s="51"/>
      <c r="P27" s="51"/>
      <c r="Q27" s="51"/>
    </row>
    <row r="28" spans="13:16" ht="15.75" thickTop="1">
      <c r="M28" s="19">
        <f t="shared" si="0"/>
        <v>28</v>
      </c>
      <c r="N28" s="26" t="s">
        <v>90</v>
      </c>
      <c r="O28" s="28" t="s">
        <v>92</v>
      </c>
      <c r="P28" s="26">
        <f>C7/1000</f>
        <v>1.2</v>
      </c>
    </row>
    <row r="29" spans="2:16" ht="15">
      <c r="B29" s="31" t="s">
        <v>108</v>
      </c>
      <c r="M29" s="19">
        <f t="shared" si="0"/>
        <v>29</v>
      </c>
      <c r="N29" s="26" t="s">
        <v>91</v>
      </c>
      <c r="O29" s="28" t="s">
        <v>93</v>
      </c>
      <c r="P29" s="26">
        <f>C8/1000</f>
        <v>1.4</v>
      </c>
    </row>
    <row r="30" spans="13:16" ht="15">
      <c r="M30" s="19">
        <f t="shared" si="0"/>
        <v>30</v>
      </c>
      <c r="N30" s="27" t="s">
        <v>75</v>
      </c>
      <c r="O30" s="20" t="s">
        <v>70</v>
      </c>
      <c r="P30" s="21">
        <f>VLOOKUP(C12,N3:Q11,4,FALSE)</f>
        <v>0.119</v>
      </c>
    </row>
    <row r="31" spans="13:16" ht="15">
      <c r="M31" s="19">
        <f t="shared" si="0"/>
        <v>31</v>
      </c>
      <c r="N31" s="27" t="s">
        <v>77</v>
      </c>
      <c r="O31" s="20" t="s">
        <v>71</v>
      </c>
      <c r="P31" s="21">
        <f>VLOOKUP(C13,N13:Q27,4,FALSE)</f>
        <v>0</v>
      </c>
    </row>
    <row r="32" spans="13:16" ht="15">
      <c r="M32" s="19">
        <f t="shared" si="0"/>
        <v>32</v>
      </c>
      <c r="N32" s="27" t="s">
        <v>76</v>
      </c>
      <c r="O32" s="20" t="s">
        <v>72</v>
      </c>
      <c r="P32" s="24">
        <f>(P28*P30*2)+((P29-2*P30)*P30*2)</f>
        <v>0.5621559999999999</v>
      </c>
    </row>
    <row r="33" spans="13:18" ht="15">
      <c r="M33" s="19">
        <f t="shared" si="0"/>
        <v>33</v>
      </c>
      <c r="N33" s="27" t="s">
        <v>78</v>
      </c>
      <c r="O33" s="20" t="s">
        <v>73</v>
      </c>
      <c r="P33" s="24">
        <f>((P29-P30*2)*P31)*C10</f>
        <v>0</v>
      </c>
      <c r="R33" s="12"/>
    </row>
    <row r="34" spans="13:20" ht="15">
      <c r="M34" s="19">
        <f t="shared" si="0"/>
        <v>34</v>
      </c>
      <c r="N34" s="27" t="s">
        <v>79</v>
      </c>
      <c r="O34" s="20" t="s">
        <v>74</v>
      </c>
      <c r="P34" s="24">
        <f>((P28-(P30*2)-(C10*P31))*P31)*C11</f>
        <v>0</v>
      </c>
      <c r="S34" s="25"/>
      <c r="T34" s="25"/>
    </row>
    <row r="35" spans="13:17" ht="15">
      <c r="M35" s="19">
        <f t="shared" si="0"/>
        <v>35</v>
      </c>
      <c r="N35" s="27" t="s">
        <v>80</v>
      </c>
      <c r="O35" s="20" t="s">
        <v>72</v>
      </c>
      <c r="P35" s="24">
        <f>P32+P33+P34</f>
        <v>0.5621559999999999</v>
      </c>
      <c r="Q35" s="1"/>
    </row>
    <row r="36" spans="13:16" ht="15">
      <c r="M36" s="19">
        <f t="shared" si="0"/>
        <v>36</v>
      </c>
      <c r="N36" s="27" t="s">
        <v>82</v>
      </c>
      <c r="O36" s="20" t="s">
        <v>81</v>
      </c>
      <c r="P36" s="24">
        <f>(P28*P29)-P35</f>
        <v>1.117844</v>
      </c>
    </row>
    <row r="37" spans="13:16" ht="15">
      <c r="M37" s="19">
        <f t="shared" si="0"/>
        <v>37</v>
      </c>
      <c r="N37" s="27" t="s">
        <v>83</v>
      </c>
      <c r="O37" s="20" t="s">
        <v>9</v>
      </c>
      <c r="P37" s="24">
        <f>P28*P29</f>
        <v>1.68</v>
      </c>
    </row>
    <row r="38" spans="13:16" ht="15">
      <c r="M38" s="19">
        <f t="shared" si="0"/>
        <v>38</v>
      </c>
      <c r="N38" s="26" t="s">
        <v>85</v>
      </c>
      <c r="O38" s="20" t="s">
        <v>84</v>
      </c>
      <c r="P38" s="22">
        <f>VLOOKUP(C12,N3:Q11,2,FALSE)</f>
        <v>1</v>
      </c>
    </row>
    <row r="39" spans="13:16" ht="15">
      <c r="M39" s="19">
        <f t="shared" si="0"/>
        <v>39</v>
      </c>
      <c r="N39" s="26" t="s">
        <v>86</v>
      </c>
      <c r="O39" s="20" t="s">
        <v>87</v>
      </c>
      <c r="P39" s="22">
        <f>VLOOKUP(C13,N13:Q27,2,FALSE)</f>
        <v>0</v>
      </c>
    </row>
    <row r="40" spans="13:16" ht="15">
      <c r="M40" s="19">
        <f t="shared" si="0"/>
        <v>40</v>
      </c>
      <c r="N40" s="26" t="s">
        <v>88</v>
      </c>
      <c r="O40" s="20" t="s">
        <v>89</v>
      </c>
      <c r="P40" s="21">
        <f>C9</f>
        <v>1</v>
      </c>
    </row>
    <row r="41" spans="13:16" ht="15">
      <c r="M41" s="19">
        <f t="shared" si="0"/>
        <v>41</v>
      </c>
      <c r="N41" s="26" t="s">
        <v>95</v>
      </c>
      <c r="O41" s="20" t="s">
        <v>2</v>
      </c>
      <c r="P41" s="23">
        <f>VLOOKUP(C14,N50:O51,2)</f>
        <v>0.04</v>
      </c>
    </row>
    <row r="42" spans="13:16" ht="15">
      <c r="M42" s="19">
        <f t="shared" si="0"/>
        <v>42</v>
      </c>
      <c r="N42" s="26" t="s">
        <v>94</v>
      </c>
      <c r="O42" s="20" t="s">
        <v>1</v>
      </c>
      <c r="P42" s="23">
        <f>P41</f>
        <v>0.04</v>
      </c>
    </row>
    <row r="43" spans="13:16" ht="15">
      <c r="M43" s="19">
        <f t="shared" si="0"/>
        <v>43</v>
      </c>
      <c r="N43" s="26" t="s">
        <v>96</v>
      </c>
      <c r="O43" s="20" t="s">
        <v>5</v>
      </c>
      <c r="P43" s="24">
        <f>(P28-P30*2-P31*C10)*2+(P29-P30*2-P31*C11)*2</f>
        <v>4.247999999999999</v>
      </c>
    </row>
    <row r="44" spans="13:16" ht="15">
      <c r="M44" s="19">
        <f t="shared" si="0"/>
        <v>44</v>
      </c>
      <c r="N44" s="26" t="s">
        <v>97</v>
      </c>
      <c r="O44" s="20" t="s">
        <v>6</v>
      </c>
      <c r="P44" s="24">
        <f>((P29-2*P30)*2)*C10</f>
        <v>0</v>
      </c>
    </row>
    <row r="45" spans="13:16" ht="15">
      <c r="M45" s="19">
        <f t="shared" si="0"/>
        <v>45</v>
      </c>
      <c r="N45" s="26" t="s">
        <v>98</v>
      </c>
      <c r="O45" s="28" t="s">
        <v>99</v>
      </c>
      <c r="P45" s="24">
        <f>((P28-2*P30-C10*P31)*2)*C11</f>
        <v>0</v>
      </c>
    </row>
    <row r="46" spans="13:16" ht="15">
      <c r="M46" s="19">
        <f t="shared" si="0"/>
        <v>46</v>
      </c>
      <c r="N46" s="26" t="s">
        <v>100</v>
      </c>
      <c r="O46" s="28" t="s">
        <v>101</v>
      </c>
      <c r="P46" s="29">
        <f>P43+P44+P45</f>
        <v>4.247999999999999</v>
      </c>
    </row>
    <row r="47" spans="13:16" ht="15">
      <c r="M47" s="19">
        <f t="shared" si="0"/>
        <v>47</v>
      </c>
      <c r="N47" s="26" t="s">
        <v>107</v>
      </c>
      <c r="O47" s="28" t="s">
        <v>55</v>
      </c>
      <c r="P47" s="12">
        <f>(P38*P32+P39*P33+P39*P34+P40*P36+P41*P43+P42*P44+P42*P45)/P37</f>
        <v>1.1011428571428572</v>
      </c>
    </row>
    <row r="49" spans="14:15" ht="15.75">
      <c r="N49" s="34" t="s">
        <v>109</v>
      </c>
      <c r="O49" s="16" t="s">
        <v>21</v>
      </c>
    </row>
    <row r="50" spans="14:18" ht="15.75">
      <c r="N50" s="13" t="s">
        <v>110</v>
      </c>
      <c r="O50" s="13">
        <v>0.07</v>
      </c>
      <c r="R50" s="33" t="s">
        <v>112</v>
      </c>
    </row>
    <row r="51" spans="14:17" ht="15">
      <c r="N51" s="13" t="s">
        <v>111</v>
      </c>
      <c r="O51" s="13">
        <v>0.04</v>
      </c>
      <c r="Q51"/>
    </row>
    <row r="53" ht="15">
      <c r="N53"/>
    </row>
  </sheetData>
  <sheetProtection/>
  <mergeCells count="4">
    <mergeCell ref="B2:K2"/>
    <mergeCell ref="B3:K3"/>
    <mergeCell ref="B4:K4"/>
    <mergeCell ref="B5:K5"/>
  </mergeCells>
  <dataValidations count="3">
    <dataValidation type="list" allowBlank="1" showInputMessage="1" showErrorMessage="1" promptTitle="Rama" prompt="Wybierz z listy" sqref="C12">
      <formula1>$N$3:$N$11</formula1>
    </dataValidation>
    <dataValidation type="list" allowBlank="1" showInputMessage="1" showErrorMessage="1" promptTitle="Skrzydło" prompt="Wybierz z listy" sqref="C13">
      <formula1>$N$13:$N$27</formula1>
    </dataValidation>
    <dataValidation type="list" allowBlank="1" showInputMessage="1" showErrorMessage="1" promptTitle="Ramka" prompt="Wybierz z listy" sqref="C14">
      <formula1>$N$50:$N$51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6"/>
  <drawing r:id="rId5"/>
  <legacyDrawing r:id="rId2"/>
  <oleObjects>
    <oleObject progId="Dokument" shapeId="662576" r:id="rId1"/>
  </oleObjects>
  <tableParts>
    <tablePart r:id="rId4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9"/>
  <sheetViews>
    <sheetView zoomScale="90" zoomScaleNormal="90" zoomScalePageLayoutView="0" workbookViewId="0" topLeftCell="A1">
      <selection activeCell="U19" sqref="U19"/>
    </sheetView>
  </sheetViews>
  <sheetFormatPr defaultColWidth="9.00390625" defaultRowHeight="12.75"/>
  <cols>
    <col min="1" max="1" width="9.125" style="2" customWidth="1"/>
    <col min="2" max="2" width="20.00390625" style="2" bestFit="1" customWidth="1"/>
    <col min="3" max="3" width="17.625" style="2" bestFit="1" customWidth="1"/>
    <col min="4" max="4" width="10.375" style="3" bestFit="1" customWidth="1"/>
    <col min="5" max="5" width="6.25390625" style="2" bestFit="1" customWidth="1"/>
    <col min="6" max="6" width="6.75390625" style="2" bestFit="1" customWidth="1"/>
    <col min="7" max="7" width="7.75390625" style="2" bestFit="1" customWidth="1"/>
    <col min="8" max="8" width="7.375" style="2" bestFit="1" customWidth="1"/>
    <col min="9" max="9" width="4.125" style="2" bestFit="1" customWidth="1"/>
    <col min="10" max="10" width="6.75390625" style="2" bestFit="1" customWidth="1"/>
    <col min="11" max="12" width="9.125" style="2" customWidth="1"/>
    <col min="13" max="13" width="9.125" style="19" hidden="1" customWidth="1"/>
    <col min="14" max="14" width="24.125" style="12" hidden="1" customWidth="1"/>
    <col min="15" max="17" width="9.125" style="12" hidden="1" customWidth="1"/>
    <col min="18" max="16384" width="9.125" style="1" customWidth="1"/>
  </cols>
  <sheetData>
    <row r="1" spans="13:17" ht="15.75">
      <c r="M1" s="19">
        <v>1</v>
      </c>
      <c r="N1" s="15" t="s">
        <v>12</v>
      </c>
      <c r="O1" s="15" t="s">
        <v>56</v>
      </c>
      <c r="P1" s="16" t="s">
        <v>21</v>
      </c>
      <c r="Q1" s="15" t="s">
        <v>22</v>
      </c>
    </row>
    <row r="2" spans="2:14" ht="15.75">
      <c r="B2" s="68" t="s">
        <v>218</v>
      </c>
      <c r="C2" s="68"/>
      <c r="D2" s="68"/>
      <c r="E2" s="68"/>
      <c r="F2" s="68"/>
      <c r="G2" s="68"/>
      <c r="H2" s="68"/>
      <c r="I2" s="68"/>
      <c r="J2" s="68"/>
      <c r="K2" s="68"/>
      <c r="M2" s="19">
        <f>M1+1</f>
        <v>2</v>
      </c>
      <c r="N2" s="18" t="s">
        <v>46</v>
      </c>
    </row>
    <row r="3" spans="2:17" ht="15.75">
      <c r="B3" s="71" t="s">
        <v>220</v>
      </c>
      <c r="C3" s="71"/>
      <c r="D3" s="71"/>
      <c r="E3" s="71"/>
      <c r="F3" s="71"/>
      <c r="G3" s="71"/>
      <c r="H3" s="71"/>
      <c r="I3" s="71"/>
      <c r="J3" s="71"/>
      <c r="K3" s="71"/>
      <c r="M3" s="19">
        <f aca="true" t="shared" si="0" ref="M3:M56">M2+1</f>
        <v>3</v>
      </c>
      <c r="N3" s="13" t="s">
        <v>46</v>
      </c>
      <c r="O3" s="13">
        <v>1.43</v>
      </c>
      <c r="P3" s="13" t="s">
        <v>119</v>
      </c>
      <c r="Q3" s="13">
        <v>0.162</v>
      </c>
    </row>
    <row r="4" spans="2:17" ht="15.75">
      <c r="B4" s="72"/>
      <c r="C4" s="72"/>
      <c r="D4" s="72"/>
      <c r="E4" s="72"/>
      <c r="F4" s="72"/>
      <c r="G4" s="72"/>
      <c r="H4" s="72"/>
      <c r="I4" s="72"/>
      <c r="J4" s="72"/>
      <c r="K4" s="72"/>
      <c r="M4" s="19">
        <f t="shared" si="0"/>
        <v>4</v>
      </c>
      <c r="N4" s="14" t="s">
        <v>120</v>
      </c>
      <c r="O4" s="13">
        <v>1.85</v>
      </c>
      <c r="P4" s="13"/>
      <c r="Q4" s="13">
        <v>0.132</v>
      </c>
    </row>
    <row r="5" spans="2:17" ht="15">
      <c r="B5" s="70"/>
      <c r="C5" s="70"/>
      <c r="D5" s="70"/>
      <c r="E5" s="70"/>
      <c r="F5" s="70"/>
      <c r="G5" s="70"/>
      <c r="H5" s="70"/>
      <c r="I5" s="70"/>
      <c r="J5" s="70"/>
      <c r="K5" s="70"/>
      <c r="M5" s="19">
        <f t="shared" si="0"/>
        <v>5</v>
      </c>
      <c r="N5" s="14" t="s">
        <v>121</v>
      </c>
      <c r="O5" s="13">
        <v>1.43</v>
      </c>
      <c r="P5" s="13"/>
      <c r="Q5" s="13">
        <v>0.248</v>
      </c>
    </row>
    <row r="6" spans="13:17" ht="15">
      <c r="M6" s="19">
        <f t="shared" si="0"/>
        <v>6</v>
      </c>
      <c r="N6" s="13" t="s">
        <v>126</v>
      </c>
      <c r="O6" s="13">
        <v>1.2</v>
      </c>
      <c r="P6" s="13"/>
      <c r="Q6" s="13">
        <v>0.08</v>
      </c>
    </row>
    <row r="7" spans="2:17" ht="15.75">
      <c r="B7" s="4" t="s">
        <v>7</v>
      </c>
      <c r="C7" s="38">
        <v>2000</v>
      </c>
      <c r="D7" s="2" t="s">
        <v>0</v>
      </c>
      <c r="E7" s="5" t="s">
        <v>51</v>
      </c>
      <c r="F7" s="8">
        <f aca="true" t="shared" si="1" ref="F7:F12">P41</f>
        <v>1.43</v>
      </c>
      <c r="G7" s="7" t="s">
        <v>4</v>
      </c>
      <c r="I7" s="5" t="s">
        <v>53</v>
      </c>
      <c r="J7" s="8">
        <f>P34</f>
        <v>1.0044</v>
      </c>
      <c r="K7" s="2" t="s">
        <v>102</v>
      </c>
      <c r="M7" s="19">
        <f t="shared" si="0"/>
        <v>7</v>
      </c>
      <c r="N7" s="14"/>
      <c r="O7" s="13"/>
      <c r="P7" s="13"/>
      <c r="Q7" s="13"/>
    </row>
    <row r="8" spans="2:19" ht="15.75">
      <c r="B8" s="4" t="s">
        <v>8</v>
      </c>
      <c r="C8" s="38">
        <v>2100</v>
      </c>
      <c r="D8" s="2" t="s">
        <v>0</v>
      </c>
      <c r="E8" s="5" t="s">
        <v>52</v>
      </c>
      <c r="F8" s="8">
        <f t="shared" si="1"/>
        <v>1.85</v>
      </c>
      <c r="G8" s="7" t="s">
        <v>4</v>
      </c>
      <c r="I8" s="5" t="s">
        <v>54</v>
      </c>
      <c r="J8" s="8">
        <f>P35</f>
        <v>0.221232</v>
      </c>
      <c r="K8" s="2" t="s">
        <v>102</v>
      </c>
      <c r="M8" s="19">
        <f t="shared" si="0"/>
        <v>8</v>
      </c>
      <c r="N8" s="14"/>
      <c r="O8" s="13"/>
      <c r="P8" s="13"/>
      <c r="Q8" s="13"/>
      <c r="S8" s="40"/>
    </row>
    <row r="9" spans="2:19" ht="15.75">
      <c r="B9" s="4" t="s">
        <v>3</v>
      </c>
      <c r="C9" s="39">
        <v>1</v>
      </c>
      <c r="D9" s="7" t="s">
        <v>4</v>
      </c>
      <c r="E9" s="5" t="s">
        <v>138</v>
      </c>
      <c r="F9" s="6">
        <f t="shared" si="1"/>
        <v>1.43</v>
      </c>
      <c r="G9" s="7" t="s">
        <v>4</v>
      </c>
      <c r="I9" s="5" t="s">
        <v>140</v>
      </c>
      <c r="J9" s="8">
        <f>P36</f>
        <v>0.440448</v>
      </c>
      <c r="K9" s="2" t="s">
        <v>102</v>
      </c>
      <c r="M9" s="19">
        <f t="shared" si="0"/>
        <v>9</v>
      </c>
      <c r="N9" s="14"/>
      <c r="O9" s="13"/>
      <c r="P9" s="13"/>
      <c r="Q9" s="13"/>
      <c r="S9" s="40"/>
    </row>
    <row r="10" spans="2:17" ht="15.75">
      <c r="B10" s="4" t="s">
        <v>136</v>
      </c>
      <c r="C10" s="37">
        <v>1</v>
      </c>
      <c r="D10" s="7"/>
      <c r="E10" s="5" t="s">
        <v>139</v>
      </c>
      <c r="F10" s="6">
        <f t="shared" si="1"/>
        <v>0</v>
      </c>
      <c r="G10" s="7" t="s">
        <v>4</v>
      </c>
      <c r="I10" s="5" t="s">
        <v>141</v>
      </c>
      <c r="J10" s="8">
        <f>P37</f>
        <v>0</v>
      </c>
      <c r="K10" s="2" t="s">
        <v>102</v>
      </c>
      <c r="M10" s="19">
        <f t="shared" si="0"/>
        <v>10</v>
      </c>
      <c r="N10" s="14"/>
      <c r="O10" s="13"/>
      <c r="P10" s="13"/>
      <c r="Q10" s="13"/>
    </row>
    <row r="11" spans="2:17" ht="15.75">
      <c r="B11" s="4" t="s">
        <v>137</v>
      </c>
      <c r="C11" s="37">
        <v>0</v>
      </c>
      <c r="D11" s="7"/>
      <c r="E11" s="5" t="s">
        <v>103</v>
      </c>
      <c r="F11" s="36">
        <f t="shared" si="1"/>
        <v>1</v>
      </c>
      <c r="G11" s="7" t="s">
        <v>4</v>
      </c>
      <c r="I11" s="5" t="s">
        <v>104</v>
      </c>
      <c r="J11" s="8">
        <f>P39</f>
        <v>2.53392</v>
      </c>
      <c r="K11" s="2" t="s">
        <v>102</v>
      </c>
      <c r="M11" s="19">
        <f t="shared" si="0"/>
        <v>11</v>
      </c>
      <c r="N11" s="14"/>
      <c r="O11" s="13"/>
      <c r="P11" s="13"/>
      <c r="Q11" s="13"/>
    </row>
    <row r="12" spans="2:13" ht="15.75">
      <c r="B12" s="32" t="s">
        <v>113</v>
      </c>
      <c r="C12" s="39" t="s">
        <v>111</v>
      </c>
      <c r="D12" s="2"/>
      <c r="E12" s="5" t="s">
        <v>114</v>
      </c>
      <c r="F12" s="6">
        <f t="shared" si="1"/>
        <v>0.04</v>
      </c>
      <c r="G12" s="6" t="s">
        <v>105</v>
      </c>
      <c r="I12" s="5" t="s">
        <v>101</v>
      </c>
      <c r="J12" s="8">
        <f>P51</f>
        <v>9.92</v>
      </c>
      <c r="K12" s="6" t="s">
        <v>106</v>
      </c>
      <c r="M12" s="19">
        <f t="shared" si="0"/>
        <v>12</v>
      </c>
    </row>
    <row r="13" spans="4:14" ht="15.75">
      <c r="D13" s="2"/>
      <c r="M13" s="19">
        <f t="shared" si="0"/>
        <v>13</v>
      </c>
      <c r="N13" s="18" t="s">
        <v>47</v>
      </c>
    </row>
    <row r="14" spans="4:17" ht="15">
      <c r="D14" s="2"/>
      <c r="M14" s="19">
        <f t="shared" si="0"/>
        <v>14</v>
      </c>
      <c r="N14" s="14"/>
      <c r="O14" s="17"/>
      <c r="P14" s="13"/>
      <c r="Q14" s="13"/>
    </row>
    <row r="15" spans="4:17" ht="15">
      <c r="D15" s="2"/>
      <c r="M15" s="19">
        <f t="shared" si="0"/>
        <v>15</v>
      </c>
      <c r="N15" s="14"/>
      <c r="O15" s="13"/>
      <c r="P15" s="13"/>
      <c r="Q15" s="13"/>
    </row>
    <row r="16" spans="13:17" ht="15">
      <c r="M16" s="19">
        <f t="shared" si="0"/>
        <v>16</v>
      </c>
      <c r="N16" s="14"/>
      <c r="O16" s="13"/>
      <c r="P16" s="13"/>
      <c r="Q16" s="13"/>
    </row>
    <row r="17" spans="4:17" ht="15">
      <c r="D17" s="9"/>
      <c r="M17" s="19">
        <f t="shared" si="0"/>
        <v>17</v>
      </c>
      <c r="N17" s="14"/>
      <c r="O17" s="17"/>
      <c r="P17" s="13"/>
      <c r="Q17" s="13"/>
    </row>
    <row r="18" spans="4:17" ht="15">
      <c r="D18" s="9"/>
      <c r="M18" s="19">
        <f t="shared" si="0"/>
        <v>18</v>
      </c>
      <c r="N18" s="14"/>
      <c r="O18" s="17"/>
      <c r="P18" s="13"/>
      <c r="Q18" s="13"/>
    </row>
    <row r="19" spans="4:17" ht="15">
      <c r="D19" s="9"/>
      <c r="M19" s="19">
        <f t="shared" si="0"/>
        <v>19</v>
      </c>
      <c r="N19" s="14"/>
      <c r="O19" s="17"/>
      <c r="P19" s="13"/>
      <c r="Q19" s="13"/>
    </row>
    <row r="20" spans="4:17" ht="15">
      <c r="D20" s="9"/>
      <c r="M20" s="19">
        <f t="shared" si="0"/>
        <v>20</v>
      </c>
      <c r="N20" s="14"/>
      <c r="O20" s="17"/>
      <c r="P20" s="13"/>
      <c r="Q20" s="13"/>
    </row>
    <row r="21" spans="4:17" ht="15">
      <c r="D21" s="9"/>
      <c r="M21" s="19">
        <f t="shared" si="0"/>
        <v>21</v>
      </c>
      <c r="N21" s="14"/>
      <c r="O21" s="17"/>
      <c r="P21" s="13"/>
      <c r="Q21" s="13"/>
    </row>
    <row r="22" spans="4:17" ht="15">
      <c r="D22" s="9"/>
      <c r="M22" s="19">
        <f t="shared" si="0"/>
        <v>22</v>
      </c>
      <c r="N22" s="14"/>
      <c r="O22" s="17"/>
      <c r="P22" s="13"/>
      <c r="Q22" s="13"/>
    </row>
    <row r="23" spans="4:17" ht="15">
      <c r="D23" s="9"/>
      <c r="M23" s="19">
        <f t="shared" si="0"/>
        <v>23</v>
      </c>
      <c r="N23" s="14"/>
      <c r="O23" s="17"/>
      <c r="P23" s="13"/>
      <c r="Q23" s="13"/>
    </row>
    <row r="24" spans="4:17" ht="15">
      <c r="D24" s="9"/>
      <c r="M24" s="19">
        <f t="shared" si="0"/>
        <v>24</v>
      </c>
      <c r="N24" s="14"/>
      <c r="O24" s="17"/>
      <c r="P24" s="13"/>
      <c r="Q24" s="13"/>
    </row>
    <row r="25" spans="4:17" ht="15">
      <c r="D25" s="9"/>
      <c r="M25" s="19">
        <f t="shared" si="0"/>
        <v>25</v>
      </c>
      <c r="N25" s="14"/>
      <c r="O25" s="17"/>
      <c r="P25" s="13"/>
      <c r="Q25" s="13"/>
    </row>
    <row r="26" spans="13:17" ht="15.75" thickBot="1">
      <c r="M26" s="19">
        <f t="shared" si="0"/>
        <v>26</v>
      </c>
      <c r="N26" s="14"/>
      <c r="O26" s="17"/>
      <c r="P26" s="13"/>
      <c r="Q26" s="13"/>
    </row>
    <row r="27" spans="5:13" ht="19.5" thickBot="1" thickTop="1">
      <c r="E27" s="60" t="s">
        <v>219</v>
      </c>
      <c r="F27" s="61">
        <f>P52</f>
        <v>1.2871742476190475</v>
      </c>
      <c r="G27" s="62" t="s">
        <v>4</v>
      </c>
      <c r="H27" s="63"/>
      <c r="M27" s="19">
        <f t="shared" si="0"/>
        <v>27</v>
      </c>
    </row>
    <row r="28" spans="13:16" ht="15.75" thickTop="1">
      <c r="M28" s="19">
        <f t="shared" si="0"/>
        <v>28</v>
      </c>
      <c r="N28" s="26" t="s">
        <v>90</v>
      </c>
      <c r="O28" s="28" t="s">
        <v>92</v>
      </c>
      <c r="P28" s="26">
        <f>C7/1000</f>
        <v>2</v>
      </c>
    </row>
    <row r="29" spans="2:16" ht="15">
      <c r="B29" s="31" t="s">
        <v>108</v>
      </c>
      <c r="M29" s="19">
        <f t="shared" si="0"/>
        <v>29</v>
      </c>
      <c r="N29" s="26" t="s">
        <v>91</v>
      </c>
      <c r="O29" s="28" t="s">
        <v>93</v>
      </c>
      <c r="P29" s="26">
        <f>C8/1000</f>
        <v>2.1</v>
      </c>
    </row>
    <row r="30" spans="13:16" ht="15">
      <c r="M30" s="19">
        <f t="shared" si="0"/>
        <v>30</v>
      </c>
      <c r="N30" s="27" t="s">
        <v>75</v>
      </c>
      <c r="O30" s="20" t="s">
        <v>70</v>
      </c>
      <c r="P30" s="21">
        <f>Q3</f>
        <v>0.162</v>
      </c>
    </row>
    <row r="31" spans="13:16" ht="15">
      <c r="M31" s="19">
        <f t="shared" si="0"/>
        <v>31</v>
      </c>
      <c r="N31" s="27" t="s">
        <v>122</v>
      </c>
      <c r="O31" s="20" t="s">
        <v>123</v>
      </c>
      <c r="P31" s="21">
        <f>Q4</f>
        <v>0.132</v>
      </c>
    </row>
    <row r="32" spans="13:16" ht="15">
      <c r="M32" s="19">
        <f t="shared" si="0"/>
        <v>32</v>
      </c>
      <c r="N32" s="27" t="s">
        <v>77</v>
      </c>
      <c r="O32" s="20" t="s">
        <v>71</v>
      </c>
      <c r="P32" s="21">
        <f>Q5</f>
        <v>0.248</v>
      </c>
    </row>
    <row r="33" spans="13:18" ht="15">
      <c r="M33" s="19">
        <f t="shared" si="0"/>
        <v>33</v>
      </c>
      <c r="N33" s="27" t="s">
        <v>128</v>
      </c>
      <c r="O33" s="20" t="s">
        <v>129</v>
      </c>
      <c r="P33" s="21">
        <f>Q6</f>
        <v>0.08</v>
      </c>
      <c r="R33" s="12"/>
    </row>
    <row r="34" spans="13:20" ht="15">
      <c r="M34" s="19">
        <f t="shared" si="0"/>
        <v>34</v>
      </c>
      <c r="N34" s="27" t="s">
        <v>76</v>
      </c>
      <c r="O34" s="20" t="s">
        <v>72</v>
      </c>
      <c r="P34" s="24">
        <f>(P28*P30)+(P29*P30*2)</f>
        <v>1.0044</v>
      </c>
      <c r="S34" s="25"/>
      <c r="T34" s="25"/>
    </row>
    <row r="35" spans="13:17" ht="15">
      <c r="M35" s="19">
        <f t="shared" si="0"/>
        <v>35</v>
      </c>
      <c r="N35" s="27" t="s">
        <v>124</v>
      </c>
      <c r="O35" s="20" t="s">
        <v>125</v>
      </c>
      <c r="P35" s="24">
        <f>(P28-2*P30)*P31</f>
        <v>0.221232</v>
      </c>
      <c r="Q35" s="1"/>
    </row>
    <row r="36" spans="13:16" ht="15">
      <c r="M36" s="19">
        <f t="shared" si="0"/>
        <v>36</v>
      </c>
      <c r="N36" s="27" t="s">
        <v>78</v>
      </c>
      <c r="O36" s="20" t="s">
        <v>73</v>
      </c>
      <c r="P36" s="24">
        <f>((P29-P30*2)*P32)*C10</f>
        <v>0.440448</v>
      </c>
    </row>
    <row r="37" spans="13:16" ht="15">
      <c r="M37" s="19">
        <f t="shared" si="0"/>
        <v>37</v>
      </c>
      <c r="N37" s="27" t="s">
        <v>127</v>
      </c>
      <c r="O37" s="20" t="s">
        <v>74</v>
      </c>
      <c r="P37" s="24">
        <f>((P28-(P30*2)-(C10*P32))*P33)*C11</f>
        <v>0</v>
      </c>
    </row>
    <row r="38" spans="13:16" ht="15">
      <c r="M38" s="19">
        <f t="shared" si="0"/>
        <v>38</v>
      </c>
      <c r="N38" s="27" t="s">
        <v>80</v>
      </c>
      <c r="O38" s="20" t="s">
        <v>72</v>
      </c>
      <c r="P38" s="24">
        <f>P34+P35+P36+P37</f>
        <v>1.66608</v>
      </c>
    </row>
    <row r="39" spans="13:16" ht="15">
      <c r="M39" s="19">
        <f t="shared" si="0"/>
        <v>39</v>
      </c>
      <c r="N39" s="27" t="s">
        <v>82</v>
      </c>
      <c r="O39" s="20" t="s">
        <v>81</v>
      </c>
      <c r="P39" s="24">
        <f>(P28*P29)-P38</f>
        <v>2.53392</v>
      </c>
    </row>
    <row r="40" spans="13:16" ht="15">
      <c r="M40" s="19">
        <f t="shared" si="0"/>
        <v>40</v>
      </c>
      <c r="N40" s="27" t="s">
        <v>83</v>
      </c>
      <c r="O40" s="20" t="s">
        <v>9</v>
      </c>
      <c r="P40" s="24">
        <f>P28*P29</f>
        <v>4.2</v>
      </c>
    </row>
    <row r="41" spans="13:16" ht="15">
      <c r="M41" s="19">
        <f t="shared" si="0"/>
        <v>41</v>
      </c>
      <c r="N41" s="26" t="s">
        <v>85</v>
      </c>
      <c r="O41" s="20" t="s">
        <v>132</v>
      </c>
      <c r="P41" s="22">
        <f>O3</f>
        <v>1.43</v>
      </c>
    </row>
    <row r="42" spans="13:16" ht="15">
      <c r="M42" s="19">
        <f t="shared" si="0"/>
        <v>42</v>
      </c>
      <c r="N42" s="26" t="s">
        <v>130</v>
      </c>
      <c r="O42" s="20" t="s">
        <v>131</v>
      </c>
      <c r="P42" s="22">
        <f>O4</f>
        <v>1.85</v>
      </c>
    </row>
    <row r="43" spans="13:16" ht="15">
      <c r="M43" s="19">
        <f t="shared" si="0"/>
        <v>43</v>
      </c>
      <c r="N43" s="26" t="s">
        <v>133</v>
      </c>
      <c r="O43" s="20" t="s">
        <v>87</v>
      </c>
      <c r="P43" s="23">
        <f>IF(C10=1,O5,0)</f>
        <v>1.43</v>
      </c>
    </row>
    <row r="44" spans="13:16" ht="15">
      <c r="M44" s="19">
        <f t="shared" si="0"/>
        <v>44</v>
      </c>
      <c r="N44" s="26" t="s">
        <v>134</v>
      </c>
      <c r="O44" s="20" t="s">
        <v>135</v>
      </c>
      <c r="P44" s="23">
        <f>IF(C11=1,O6,0)</f>
        <v>0</v>
      </c>
    </row>
    <row r="45" spans="13:16" ht="15">
      <c r="M45" s="19">
        <f t="shared" si="0"/>
        <v>45</v>
      </c>
      <c r="N45" s="26" t="s">
        <v>88</v>
      </c>
      <c r="O45" s="20" t="s">
        <v>89</v>
      </c>
      <c r="P45" s="21">
        <f>C9</f>
        <v>1</v>
      </c>
    </row>
    <row r="46" spans="13:16" ht="15">
      <c r="M46" s="19">
        <f t="shared" si="0"/>
        <v>46</v>
      </c>
      <c r="N46" s="26" t="s">
        <v>95</v>
      </c>
      <c r="O46" s="20" t="s">
        <v>2</v>
      </c>
      <c r="P46" s="23">
        <f>VLOOKUP(C12,N55:O56,2,FALSE)</f>
        <v>0.04</v>
      </c>
    </row>
    <row r="47" spans="13:16" ht="15">
      <c r="M47" s="19">
        <f t="shared" si="0"/>
        <v>47</v>
      </c>
      <c r="N47" s="26" t="s">
        <v>94</v>
      </c>
      <c r="O47" s="20" t="s">
        <v>1</v>
      </c>
      <c r="P47" s="23">
        <f>P46</f>
        <v>0.04</v>
      </c>
    </row>
    <row r="48" spans="13:16" ht="15">
      <c r="M48" s="19">
        <f t="shared" si="0"/>
        <v>48</v>
      </c>
      <c r="N48" s="26"/>
      <c r="O48" s="20"/>
      <c r="P48" s="24"/>
    </row>
    <row r="49" spans="13:16" ht="15">
      <c r="M49" s="19">
        <f t="shared" si="0"/>
        <v>49</v>
      </c>
      <c r="N49" s="26"/>
      <c r="O49" s="20"/>
      <c r="P49" s="24"/>
    </row>
    <row r="50" spans="13:16" ht="15">
      <c r="M50" s="19">
        <f t="shared" si="0"/>
        <v>50</v>
      </c>
      <c r="N50" s="26"/>
      <c r="O50" s="28"/>
      <c r="P50" s="24"/>
    </row>
    <row r="51" spans="13:16" ht="15">
      <c r="M51" s="19">
        <f t="shared" si="0"/>
        <v>51</v>
      </c>
      <c r="N51" s="26" t="s">
        <v>100</v>
      </c>
      <c r="O51" s="28" t="s">
        <v>101</v>
      </c>
      <c r="P51" s="29">
        <f>(P28-P30*2-P32*C10)*2+(P29-P30-P31-P33*C11)*2+(P29-P30-P31-P33)*2*C10+(P28-P30*2-P32*C10)*2*C11</f>
        <v>9.92</v>
      </c>
    </row>
    <row r="52" spans="13:16" ht="15">
      <c r="M52" s="19">
        <f t="shared" si="0"/>
        <v>52</v>
      </c>
      <c r="N52" s="26" t="s">
        <v>107</v>
      </c>
      <c r="O52" s="28" t="s">
        <v>55</v>
      </c>
      <c r="P52" s="12">
        <f>(P41*P34+P42*P35+P43*P36+P44*P37+P45*P39+P51*F12)/P40</f>
        <v>1.2871742476190475</v>
      </c>
    </row>
    <row r="53" ht="15">
      <c r="M53" s="19">
        <f t="shared" si="0"/>
        <v>53</v>
      </c>
    </row>
    <row r="54" spans="13:15" ht="15.75">
      <c r="M54" s="19">
        <f t="shared" si="0"/>
        <v>54</v>
      </c>
      <c r="N54" s="34" t="s">
        <v>109</v>
      </c>
      <c r="O54" s="16" t="s">
        <v>21</v>
      </c>
    </row>
    <row r="55" spans="13:15" ht="15">
      <c r="M55" s="19">
        <f t="shared" si="0"/>
        <v>55</v>
      </c>
      <c r="N55" s="13" t="s">
        <v>110</v>
      </c>
      <c r="O55" s="13">
        <v>0.07</v>
      </c>
    </row>
    <row r="56" spans="13:15" ht="15">
      <c r="M56" s="19">
        <f t="shared" si="0"/>
        <v>56</v>
      </c>
      <c r="N56" s="13" t="s">
        <v>111</v>
      </c>
      <c r="O56" s="13">
        <v>0.04</v>
      </c>
    </row>
    <row r="58" ht="15">
      <c r="N58" s="12">
        <v>0</v>
      </c>
    </row>
    <row r="59" ht="15">
      <c r="N59" s="12">
        <v>1</v>
      </c>
    </row>
  </sheetData>
  <sheetProtection/>
  <mergeCells count="4">
    <mergeCell ref="B2:K2"/>
    <mergeCell ref="B3:K3"/>
    <mergeCell ref="B4:K4"/>
    <mergeCell ref="B5:K5"/>
  </mergeCells>
  <dataValidations count="2">
    <dataValidation type="list" allowBlank="1" showInputMessage="1" showErrorMessage="1" promptTitle="Ramka" prompt="Wybierz z listy" sqref="C12">
      <formula1>$N$55:$N$56</formula1>
    </dataValidation>
    <dataValidation type="list" allowBlank="1" showInputMessage="1" showErrorMessage="1" sqref="C10 C11">
      <formula1>$N$58:$N$59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5"/>
  <drawing r:id="rId4"/>
  <legacyDrawing r:id="rId3"/>
  <oleObjects>
    <oleObject progId="Dokument" shapeId="66257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9"/>
  <sheetViews>
    <sheetView zoomScale="90" zoomScaleNormal="90" zoomScalePageLayoutView="0" workbookViewId="0" topLeftCell="A1">
      <selection activeCell="G45" sqref="G45"/>
    </sheetView>
  </sheetViews>
  <sheetFormatPr defaultColWidth="9.00390625" defaultRowHeight="12.75"/>
  <cols>
    <col min="1" max="1" width="9.125" style="2" customWidth="1"/>
    <col min="2" max="2" width="20.00390625" style="2" bestFit="1" customWidth="1"/>
    <col min="3" max="3" width="17.625" style="2" bestFit="1" customWidth="1"/>
    <col min="4" max="4" width="10.375" style="3" bestFit="1" customWidth="1"/>
    <col min="5" max="5" width="6.25390625" style="2" bestFit="1" customWidth="1"/>
    <col min="6" max="6" width="6.75390625" style="2" bestFit="1" customWidth="1"/>
    <col min="7" max="7" width="7.75390625" style="2" bestFit="1" customWidth="1"/>
    <col min="8" max="8" width="7.375" style="2" bestFit="1" customWidth="1"/>
    <col min="9" max="9" width="4.125" style="2" bestFit="1" customWidth="1"/>
    <col min="10" max="10" width="6.75390625" style="2" bestFit="1" customWidth="1"/>
    <col min="11" max="12" width="9.125" style="2" customWidth="1"/>
    <col min="13" max="13" width="9.125" style="19" hidden="1" customWidth="1"/>
    <col min="14" max="14" width="24.125" style="12" hidden="1" customWidth="1"/>
    <col min="15" max="17" width="9.125" style="12" hidden="1" customWidth="1"/>
    <col min="18" max="16384" width="9.125" style="1" customWidth="1"/>
  </cols>
  <sheetData>
    <row r="1" spans="13:17" ht="15.75">
      <c r="M1" s="19">
        <v>1</v>
      </c>
      <c r="N1" s="15" t="s">
        <v>12</v>
      </c>
      <c r="O1" s="15" t="s">
        <v>56</v>
      </c>
      <c r="P1" s="16" t="s">
        <v>21</v>
      </c>
      <c r="Q1" s="15" t="s">
        <v>22</v>
      </c>
    </row>
    <row r="2" spans="2:14" ht="15.75">
      <c r="B2" s="68" t="s">
        <v>218</v>
      </c>
      <c r="C2" s="68"/>
      <c r="D2" s="68"/>
      <c r="E2" s="68"/>
      <c r="F2" s="68"/>
      <c r="G2" s="68"/>
      <c r="H2" s="68"/>
      <c r="I2" s="68"/>
      <c r="J2" s="68"/>
      <c r="K2" s="68"/>
      <c r="M2" s="19">
        <f>M1+1</f>
        <v>2</v>
      </c>
      <c r="N2" s="18" t="s">
        <v>46</v>
      </c>
    </row>
    <row r="3" spans="2:17" ht="15.75">
      <c r="B3" s="73" t="s">
        <v>221</v>
      </c>
      <c r="C3" s="68"/>
      <c r="D3" s="68"/>
      <c r="E3" s="68"/>
      <c r="F3" s="68"/>
      <c r="G3" s="68"/>
      <c r="H3" s="68"/>
      <c r="I3" s="68"/>
      <c r="J3" s="68"/>
      <c r="K3" s="68"/>
      <c r="M3" s="19">
        <f aca="true" t="shared" si="0" ref="M3:M56">M2+1</f>
        <v>3</v>
      </c>
      <c r="N3" s="13" t="s">
        <v>46</v>
      </c>
      <c r="O3" s="13">
        <v>1.44</v>
      </c>
      <c r="P3" s="13" t="s">
        <v>119</v>
      </c>
      <c r="Q3" s="13">
        <v>0.162</v>
      </c>
    </row>
    <row r="4" spans="2:17" ht="15.75">
      <c r="B4" s="72"/>
      <c r="C4" s="72"/>
      <c r="D4" s="72"/>
      <c r="E4" s="72"/>
      <c r="F4" s="72"/>
      <c r="G4" s="72"/>
      <c r="H4" s="72"/>
      <c r="I4" s="72"/>
      <c r="J4" s="72"/>
      <c r="K4" s="72"/>
      <c r="M4" s="19">
        <f t="shared" si="0"/>
        <v>4</v>
      </c>
      <c r="N4" s="14" t="s">
        <v>120</v>
      </c>
      <c r="O4" s="13">
        <v>1.82</v>
      </c>
      <c r="P4" s="13"/>
      <c r="Q4" s="13">
        <v>0.132</v>
      </c>
    </row>
    <row r="5" spans="2:17" ht="15">
      <c r="B5" s="70"/>
      <c r="C5" s="70"/>
      <c r="D5" s="70"/>
      <c r="E5" s="70"/>
      <c r="F5" s="70"/>
      <c r="G5" s="70"/>
      <c r="H5" s="70"/>
      <c r="I5" s="70"/>
      <c r="J5" s="70"/>
      <c r="K5" s="70"/>
      <c r="M5" s="19">
        <f t="shared" si="0"/>
        <v>5</v>
      </c>
      <c r="N5" s="14" t="s">
        <v>121</v>
      </c>
      <c r="O5" s="13">
        <v>1.48</v>
      </c>
      <c r="P5" s="13"/>
      <c r="Q5" s="13">
        <v>0.248</v>
      </c>
    </row>
    <row r="6" spans="13:17" ht="15">
      <c r="M6" s="19">
        <f t="shared" si="0"/>
        <v>6</v>
      </c>
      <c r="N6" s="13" t="s">
        <v>126</v>
      </c>
      <c r="O6" s="13">
        <v>1.2</v>
      </c>
      <c r="P6" s="13"/>
      <c r="Q6" s="13">
        <v>0.08</v>
      </c>
    </row>
    <row r="7" spans="2:17" ht="15.75">
      <c r="B7" s="4" t="s">
        <v>7</v>
      </c>
      <c r="C7" s="38">
        <v>2000</v>
      </c>
      <c r="D7" s="2" t="s">
        <v>0</v>
      </c>
      <c r="E7" s="5" t="s">
        <v>51</v>
      </c>
      <c r="F7" s="8">
        <f aca="true" t="shared" si="1" ref="F7:F12">P41</f>
        <v>1.44</v>
      </c>
      <c r="G7" s="7" t="s">
        <v>4</v>
      </c>
      <c r="I7" s="5" t="s">
        <v>53</v>
      </c>
      <c r="J7" s="8">
        <f>P34</f>
        <v>1.0044</v>
      </c>
      <c r="K7" s="2" t="s">
        <v>102</v>
      </c>
      <c r="M7" s="19">
        <f t="shared" si="0"/>
        <v>7</v>
      </c>
      <c r="N7" s="14"/>
      <c r="O7" s="13"/>
      <c r="P7" s="13"/>
      <c r="Q7" s="13"/>
    </row>
    <row r="8" spans="2:19" ht="15.75">
      <c r="B8" s="4" t="s">
        <v>8</v>
      </c>
      <c r="C8" s="38">
        <v>2100</v>
      </c>
      <c r="D8" s="2" t="s">
        <v>0</v>
      </c>
      <c r="E8" s="5" t="s">
        <v>52</v>
      </c>
      <c r="F8" s="8">
        <f t="shared" si="1"/>
        <v>1.82</v>
      </c>
      <c r="G8" s="7" t="s">
        <v>4</v>
      </c>
      <c r="I8" s="5" t="s">
        <v>54</v>
      </c>
      <c r="J8" s="8">
        <f>P35</f>
        <v>0.221232</v>
      </c>
      <c r="K8" s="2" t="s">
        <v>102</v>
      </c>
      <c r="M8" s="19">
        <f t="shared" si="0"/>
        <v>8</v>
      </c>
      <c r="N8" s="14"/>
      <c r="O8" s="13"/>
      <c r="P8" s="13"/>
      <c r="Q8" s="13"/>
      <c r="S8" s="40"/>
    </row>
    <row r="9" spans="2:19" ht="15.75">
      <c r="B9" s="4" t="s">
        <v>3</v>
      </c>
      <c r="C9" s="39">
        <v>1</v>
      </c>
      <c r="D9" s="7" t="s">
        <v>4</v>
      </c>
      <c r="E9" s="5" t="s">
        <v>138</v>
      </c>
      <c r="F9" s="6">
        <f t="shared" si="1"/>
        <v>1.48</v>
      </c>
      <c r="G9" s="7" t="s">
        <v>4</v>
      </c>
      <c r="I9" s="5" t="s">
        <v>140</v>
      </c>
      <c r="J9" s="8">
        <f>P36</f>
        <v>0.440448</v>
      </c>
      <c r="K9" s="2" t="s">
        <v>102</v>
      </c>
      <c r="M9" s="19">
        <f t="shared" si="0"/>
        <v>9</v>
      </c>
      <c r="N9" s="14"/>
      <c r="O9" s="13"/>
      <c r="P9" s="13"/>
      <c r="Q9" s="13"/>
      <c r="S9" s="40"/>
    </row>
    <row r="10" spans="2:17" ht="15.75">
      <c r="B10" s="4" t="s">
        <v>136</v>
      </c>
      <c r="C10" s="37">
        <v>1</v>
      </c>
      <c r="D10" s="7"/>
      <c r="E10" s="5" t="s">
        <v>139</v>
      </c>
      <c r="F10" s="6">
        <f t="shared" si="1"/>
        <v>0</v>
      </c>
      <c r="G10" s="7" t="s">
        <v>4</v>
      </c>
      <c r="I10" s="5" t="s">
        <v>141</v>
      </c>
      <c r="J10" s="8">
        <f>P37</f>
        <v>0</v>
      </c>
      <c r="K10" s="2" t="s">
        <v>102</v>
      </c>
      <c r="M10" s="19">
        <f t="shared" si="0"/>
        <v>10</v>
      </c>
      <c r="N10" s="14"/>
      <c r="O10" s="13"/>
      <c r="P10" s="13"/>
      <c r="Q10" s="13"/>
    </row>
    <row r="11" spans="2:17" ht="15.75">
      <c r="B11" s="4" t="s">
        <v>137</v>
      </c>
      <c r="C11" s="37">
        <v>0</v>
      </c>
      <c r="D11" s="7"/>
      <c r="E11" s="5" t="s">
        <v>103</v>
      </c>
      <c r="F11" s="36">
        <f t="shared" si="1"/>
        <v>1</v>
      </c>
      <c r="G11" s="7" t="s">
        <v>4</v>
      </c>
      <c r="I11" s="5" t="s">
        <v>104</v>
      </c>
      <c r="J11" s="8">
        <f>P39</f>
        <v>2.53392</v>
      </c>
      <c r="K11" s="2" t="s">
        <v>102</v>
      </c>
      <c r="M11" s="19">
        <f t="shared" si="0"/>
        <v>11</v>
      </c>
      <c r="N11" s="14"/>
      <c r="O11" s="13"/>
      <c r="P11" s="13"/>
      <c r="Q11" s="13"/>
    </row>
    <row r="12" spans="2:13" ht="15.75">
      <c r="B12" s="32" t="s">
        <v>113</v>
      </c>
      <c r="C12" s="39" t="s">
        <v>111</v>
      </c>
      <c r="D12" s="2"/>
      <c r="E12" s="5" t="s">
        <v>114</v>
      </c>
      <c r="F12" s="6">
        <f t="shared" si="1"/>
        <v>0.04</v>
      </c>
      <c r="G12" s="6" t="s">
        <v>105</v>
      </c>
      <c r="I12" s="5" t="s">
        <v>101</v>
      </c>
      <c r="J12" s="8">
        <f>P51</f>
        <v>9.92</v>
      </c>
      <c r="K12" s="6" t="s">
        <v>106</v>
      </c>
      <c r="M12" s="19">
        <f t="shared" si="0"/>
        <v>12</v>
      </c>
    </row>
    <row r="13" spans="4:14" ht="15.75">
      <c r="D13" s="2"/>
      <c r="M13" s="19">
        <f t="shared" si="0"/>
        <v>13</v>
      </c>
      <c r="N13" s="18" t="s">
        <v>47</v>
      </c>
    </row>
    <row r="14" spans="4:17" ht="15">
      <c r="D14" s="2"/>
      <c r="M14" s="19">
        <f t="shared" si="0"/>
        <v>14</v>
      </c>
      <c r="N14" s="14"/>
      <c r="O14" s="17"/>
      <c r="P14" s="13"/>
      <c r="Q14" s="13"/>
    </row>
    <row r="15" spans="4:17" ht="15">
      <c r="D15" s="2"/>
      <c r="M15" s="19">
        <f t="shared" si="0"/>
        <v>15</v>
      </c>
      <c r="N15" s="14"/>
      <c r="O15" s="13"/>
      <c r="P15" s="13"/>
      <c r="Q15" s="13"/>
    </row>
    <row r="16" spans="13:17" ht="15">
      <c r="M16" s="19">
        <f t="shared" si="0"/>
        <v>16</v>
      </c>
      <c r="N16" s="14"/>
      <c r="O16" s="13"/>
      <c r="P16" s="13"/>
      <c r="Q16" s="13"/>
    </row>
    <row r="17" spans="4:17" ht="15">
      <c r="D17" s="9"/>
      <c r="M17" s="19">
        <f t="shared" si="0"/>
        <v>17</v>
      </c>
      <c r="N17" s="14"/>
      <c r="O17" s="17"/>
      <c r="P17" s="13"/>
      <c r="Q17" s="13"/>
    </row>
    <row r="18" spans="4:17" ht="15">
      <c r="D18" s="9"/>
      <c r="M18" s="19">
        <f t="shared" si="0"/>
        <v>18</v>
      </c>
      <c r="N18" s="14"/>
      <c r="O18" s="17"/>
      <c r="P18" s="13"/>
      <c r="Q18" s="13"/>
    </row>
    <row r="19" spans="4:17" ht="15">
      <c r="D19" s="9"/>
      <c r="M19" s="19">
        <f t="shared" si="0"/>
        <v>19</v>
      </c>
      <c r="N19" s="14"/>
      <c r="O19" s="17"/>
      <c r="P19" s="13"/>
      <c r="Q19" s="13"/>
    </row>
    <row r="20" spans="4:17" ht="15">
      <c r="D20" s="9"/>
      <c r="M20" s="19">
        <f t="shared" si="0"/>
        <v>20</v>
      </c>
      <c r="N20" s="14"/>
      <c r="O20" s="17"/>
      <c r="P20" s="13"/>
      <c r="Q20" s="13"/>
    </row>
    <row r="21" spans="4:17" ht="15">
      <c r="D21" s="9"/>
      <c r="M21" s="19">
        <f t="shared" si="0"/>
        <v>21</v>
      </c>
      <c r="N21" s="14"/>
      <c r="O21" s="17"/>
      <c r="P21" s="13"/>
      <c r="Q21" s="13"/>
    </row>
    <row r="22" spans="4:17" ht="15">
      <c r="D22" s="9"/>
      <c r="M22" s="19">
        <f t="shared" si="0"/>
        <v>22</v>
      </c>
      <c r="N22" s="14"/>
      <c r="O22" s="17"/>
      <c r="P22" s="13"/>
      <c r="Q22" s="13"/>
    </row>
    <row r="23" spans="4:17" ht="15">
      <c r="D23" s="9"/>
      <c r="M23" s="19">
        <f t="shared" si="0"/>
        <v>23</v>
      </c>
      <c r="N23" s="14"/>
      <c r="O23" s="17"/>
      <c r="P23" s="13"/>
      <c r="Q23" s="13"/>
    </row>
    <row r="24" spans="4:17" ht="15">
      <c r="D24" s="9"/>
      <c r="M24" s="19">
        <f t="shared" si="0"/>
        <v>24</v>
      </c>
      <c r="N24" s="14"/>
      <c r="O24" s="17"/>
      <c r="P24" s="13"/>
      <c r="Q24" s="13"/>
    </row>
    <row r="25" spans="4:17" ht="15">
      <c r="D25" s="9"/>
      <c r="M25" s="19">
        <f t="shared" si="0"/>
        <v>25</v>
      </c>
      <c r="N25" s="14"/>
      <c r="O25" s="17"/>
      <c r="P25" s="13"/>
      <c r="Q25" s="13"/>
    </row>
    <row r="26" spans="13:17" ht="15.75" thickBot="1">
      <c r="M26" s="19">
        <f t="shared" si="0"/>
        <v>26</v>
      </c>
      <c r="N26" s="14"/>
      <c r="O26" s="17"/>
      <c r="P26" s="13"/>
      <c r="Q26" s="13"/>
    </row>
    <row r="27" spans="5:13" ht="19.5" thickBot="1" thickTop="1">
      <c r="E27" s="60" t="s">
        <v>219</v>
      </c>
      <c r="F27" s="61">
        <f>P52</f>
        <v>1.293228876190476</v>
      </c>
      <c r="G27" s="62" t="s">
        <v>4</v>
      </c>
      <c r="H27" s="63"/>
      <c r="M27" s="19">
        <f t="shared" si="0"/>
        <v>27</v>
      </c>
    </row>
    <row r="28" spans="13:16" ht="15.75" thickTop="1">
      <c r="M28" s="19">
        <f t="shared" si="0"/>
        <v>28</v>
      </c>
      <c r="N28" s="26" t="s">
        <v>90</v>
      </c>
      <c r="O28" s="28" t="s">
        <v>92</v>
      </c>
      <c r="P28" s="26">
        <f>C7/1000</f>
        <v>2</v>
      </c>
    </row>
    <row r="29" spans="2:16" ht="15">
      <c r="B29" s="31" t="s">
        <v>108</v>
      </c>
      <c r="M29" s="19">
        <f t="shared" si="0"/>
        <v>29</v>
      </c>
      <c r="N29" s="26" t="s">
        <v>91</v>
      </c>
      <c r="O29" s="28" t="s">
        <v>93</v>
      </c>
      <c r="P29" s="26">
        <f>C8/1000</f>
        <v>2.1</v>
      </c>
    </row>
    <row r="30" spans="13:16" ht="15">
      <c r="M30" s="19">
        <f t="shared" si="0"/>
        <v>30</v>
      </c>
      <c r="N30" s="27" t="s">
        <v>75</v>
      </c>
      <c r="O30" s="20" t="s">
        <v>70</v>
      </c>
      <c r="P30" s="21">
        <f>Q3</f>
        <v>0.162</v>
      </c>
    </row>
    <row r="31" spans="13:16" ht="15">
      <c r="M31" s="19">
        <f t="shared" si="0"/>
        <v>31</v>
      </c>
      <c r="N31" s="27" t="s">
        <v>122</v>
      </c>
      <c r="O31" s="20" t="s">
        <v>123</v>
      </c>
      <c r="P31" s="21">
        <f>Q4</f>
        <v>0.132</v>
      </c>
    </row>
    <row r="32" spans="13:16" ht="15">
      <c r="M32" s="19">
        <f t="shared" si="0"/>
        <v>32</v>
      </c>
      <c r="N32" s="27" t="s">
        <v>77</v>
      </c>
      <c r="O32" s="20" t="s">
        <v>71</v>
      </c>
      <c r="P32" s="21">
        <f>Q5</f>
        <v>0.248</v>
      </c>
    </row>
    <row r="33" spans="13:18" ht="15">
      <c r="M33" s="19">
        <f t="shared" si="0"/>
        <v>33</v>
      </c>
      <c r="N33" s="27" t="s">
        <v>128</v>
      </c>
      <c r="O33" s="20" t="s">
        <v>129</v>
      </c>
      <c r="P33" s="21">
        <f>Q6</f>
        <v>0.08</v>
      </c>
      <c r="R33" s="12"/>
    </row>
    <row r="34" spans="13:20" ht="15">
      <c r="M34" s="19">
        <f t="shared" si="0"/>
        <v>34</v>
      </c>
      <c r="N34" s="27" t="s">
        <v>76</v>
      </c>
      <c r="O34" s="20" t="s">
        <v>72</v>
      </c>
      <c r="P34" s="24">
        <f>(P28*P30)+(P29*P30*2)</f>
        <v>1.0044</v>
      </c>
      <c r="S34" s="25"/>
      <c r="T34" s="25"/>
    </row>
    <row r="35" spans="13:17" ht="15">
      <c r="M35" s="19">
        <f t="shared" si="0"/>
        <v>35</v>
      </c>
      <c r="N35" s="27" t="s">
        <v>124</v>
      </c>
      <c r="O35" s="20" t="s">
        <v>125</v>
      </c>
      <c r="P35" s="24">
        <f>(P28-2*P30)*P31</f>
        <v>0.221232</v>
      </c>
      <c r="Q35" s="1"/>
    </row>
    <row r="36" spans="13:16" ht="15">
      <c r="M36" s="19">
        <f t="shared" si="0"/>
        <v>36</v>
      </c>
      <c r="N36" s="27" t="s">
        <v>78</v>
      </c>
      <c r="O36" s="20" t="s">
        <v>73</v>
      </c>
      <c r="P36" s="24">
        <f>((P29-P30*2)*P32)*C10</f>
        <v>0.440448</v>
      </c>
    </row>
    <row r="37" spans="13:16" ht="15">
      <c r="M37" s="19">
        <f t="shared" si="0"/>
        <v>37</v>
      </c>
      <c r="N37" s="27" t="s">
        <v>127</v>
      </c>
      <c r="O37" s="20" t="s">
        <v>74</v>
      </c>
      <c r="P37" s="24">
        <f>((P28-(P30*2)-(C10*P32))*P33)*C11</f>
        <v>0</v>
      </c>
    </row>
    <row r="38" spans="13:16" ht="15">
      <c r="M38" s="19">
        <f t="shared" si="0"/>
        <v>38</v>
      </c>
      <c r="N38" s="27" t="s">
        <v>80</v>
      </c>
      <c r="O38" s="20" t="s">
        <v>72</v>
      </c>
      <c r="P38" s="24">
        <f>P34+P35+P36+P37</f>
        <v>1.66608</v>
      </c>
    </row>
    <row r="39" spans="13:16" ht="15">
      <c r="M39" s="19">
        <f t="shared" si="0"/>
        <v>39</v>
      </c>
      <c r="N39" s="27" t="s">
        <v>82</v>
      </c>
      <c r="O39" s="20" t="s">
        <v>81</v>
      </c>
      <c r="P39" s="24">
        <f>(P28*P29)-P38</f>
        <v>2.53392</v>
      </c>
    </row>
    <row r="40" spans="13:16" ht="15">
      <c r="M40" s="19">
        <f t="shared" si="0"/>
        <v>40</v>
      </c>
      <c r="N40" s="27" t="s">
        <v>83</v>
      </c>
      <c r="O40" s="20" t="s">
        <v>9</v>
      </c>
      <c r="P40" s="24">
        <f>P28*P29</f>
        <v>4.2</v>
      </c>
    </row>
    <row r="41" spans="13:16" ht="15">
      <c r="M41" s="19">
        <f t="shared" si="0"/>
        <v>41</v>
      </c>
      <c r="N41" s="26" t="s">
        <v>85</v>
      </c>
      <c r="O41" s="20" t="s">
        <v>132</v>
      </c>
      <c r="P41" s="22">
        <f>O3</f>
        <v>1.44</v>
      </c>
    </row>
    <row r="42" spans="13:16" ht="15">
      <c r="M42" s="19">
        <f t="shared" si="0"/>
        <v>42</v>
      </c>
      <c r="N42" s="26" t="s">
        <v>130</v>
      </c>
      <c r="O42" s="20" t="s">
        <v>131</v>
      </c>
      <c r="P42" s="22">
        <f>O4</f>
        <v>1.82</v>
      </c>
    </row>
    <row r="43" spans="13:16" ht="15">
      <c r="M43" s="19">
        <f t="shared" si="0"/>
        <v>43</v>
      </c>
      <c r="N43" s="26" t="s">
        <v>133</v>
      </c>
      <c r="O43" s="20" t="s">
        <v>87</v>
      </c>
      <c r="P43" s="23">
        <f>IF(C10=1,O5,0)</f>
        <v>1.48</v>
      </c>
    </row>
    <row r="44" spans="13:16" ht="15">
      <c r="M44" s="19">
        <f t="shared" si="0"/>
        <v>44</v>
      </c>
      <c r="N44" s="26" t="s">
        <v>134</v>
      </c>
      <c r="O44" s="20" t="s">
        <v>135</v>
      </c>
      <c r="P44" s="23">
        <f>IF(C11=1,O6,0)</f>
        <v>0</v>
      </c>
    </row>
    <row r="45" spans="13:16" ht="15">
      <c r="M45" s="19">
        <f t="shared" si="0"/>
        <v>45</v>
      </c>
      <c r="N45" s="26" t="s">
        <v>88</v>
      </c>
      <c r="O45" s="20" t="s">
        <v>89</v>
      </c>
      <c r="P45" s="21">
        <f>C9</f>
        <v>1</v>
      </c>
    </row>
    <row r="46" spans="13:16" ht="15">
      <c r="M46" s="19">
        <f t="shared" si="0"/>
        <v>46</v>
      </c>
      <c r="N46" s="26" t="s">
        <v>95</v>
      </c>
      <c r="O46" s="20" t="s">
        <v>2</v>
      </c>
      <c r="P46" s="23">
        <f>VLOOKUP(C12,N55:O56,2,FALSE)</f>
        <v>0.04</v>
      </c>
    </row>
    <row r="47" spans="13:16" ht="15">
      <c r="M47" s="19">
        <f t="shared" si="0"/>
        <v>47</v>
      </c>
      <c r="N47" s="26" t="s">
        <v>94</v>
      </c>
      <c r="O47" s="20" t="s">
        <v>1</v>
      </c>
      <c r="P47" s="23">
        <f>P46</f>
        <v>0.04</v>
      </c>
    </row>
    <row r="48" spans="13:16" ht="15">
      <c r="M48" s="19">
        <f t="shared" si="0"/>
        <v>48</v>
      </c>
      <c r="N48" s="26"/>
      <c r="O48" s="20"/>
      <c r="P48" s="24"/>
    </row>
    <row r="49" spans="13:16" ht="15">
      <c r="M49" s="19">
        <f t="shared" si="0"/>
        <v>49</v>
      </c>
      <c r="N49" s="26"/>
      <c r="O49" s="20"/>
      <c r="P49" s="24"/>
    </row>
    <row r="50" spans="13:16" ht="15">
      <c r="M50" s="19">
        <f t="shared" si="0"/>
        <v>50</v>
      </c>
      <c r="N50" s="26"/>
      <c r="O50" s="28"/>
      <c r="P50" s="24"/>
    </row>
    <row r="51" spans="13:16" ht="15">
      <c r="M51" s="19">
        <f t="shared" si="0"/>
        <v>51</v>
      </c>
      <c r="N51" s="26" t="s">
        <v>100</v>
      </c>
      <c r="O51" s="28" t="s">
        <v>101</v>
      </c>
      <c r="P51" s="29">
        <f>(P28-P30*2-P32*C10)*2+(P29-P30-P31-P33*C11)*2+(P29-P30-P31-P33)*2*C10+(P28-P30*2-P32*C10)*2*C11</f>
        <v>9.92</v>
      </c>
    </row>
    <row r="52" spans="13:16" ht="15">
      <c r="M52" s="19">
        <f t="shared" si="0"/>
        <v>52</v>
      </c>
      <c r="N52" s="26" t="s">
        <v>107</v>
      </c>
      <c r="O52" s="28" t="s">
        <v>55</v>
      </c>
      <c r="P52" s="12">
        <f>(P41*P34+P42*P35+P43*P36+P44*P37+P45*P39+P51*F12)/P40</f>
        <v>1.293228876190476</v>
      </c>
    </row>
    <row r="53" ht="15">
      <c r="M53" s="19">
        <f t="shared" si="0"/>
        <v>53</v>
      </c>
    </row>
    <row r="54" spans="13:15" ht="15.75">
      <c r="M54" s="19">
        <f t="shared" si="0"/>
        <v>54</v>
      </c>
      <c r="N54" s="34" t="s">
        <v>109</v>
      </c>
      <c r="O54" s="16" t="s">
        <v>21</v>
      </c>
    </row>
    <row r="55" spans="13:15" ht="15">
      <c r="M55" s="19">
        <f t="shared" si="0"/>
        <v>55</v>
      </c>
      <c r="N55" s="13" t="s">
        <v>110</v>
      </c>
      <c r="O55" s="13">
        <v>0.07</v>
      </c>
    </row>
    <row r="56" spans="13:15" ht="15">
      <c r="M56" s="19">
        <f t="shared" si="0"/>
        <v>56</v>
      </c>
      <c r="N56" s="13" t="s">
        <v>111</v>
      </c>
      <c r="O56" s="13">
        <v>0.04</v>
      </c>
    </row>
    <row r="58" ht="15">
      <c r="N58" s="12">
        <v>0</v>
      </c>
    </row>
    <row r="59" ht="15">
      <c r="N59" s="12">
        <v>1</v>
      </c>
    </row>
  </sheetData>
  <sheetProtection/>
  <mergeCells count="4">
    <mergeCell ref="B2:K2"/>
    <mergeCell ref="B3:K3"/>
    <mergeCell ref="B4:K4"/>
    <mergeCell ref="B5:K5"/>
  </mergeCells>
  <dataValidations count="2">
    <dataValidation type="list" allowBlank="1" showInputMessage="1" showErrorMessage="1" sqref="C10:C11">
      <formula1>$N$58:$N$59</formula1>
    </dataValidation>
    <dataValidation type="list" allowBlank="1" showInputMessage="1" showErrorMessage="1" promptTitle="Ramka" prompt="Wybierz z listy" sqref="C12">
      <formula1>$N$55:$N$56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5"/>
  <drawing r:id="rId4"/>
  <legacyDrawing r:id="rId3"/>
  <oleObjects>
    <oleObject progId="Dokument" shapeId="662574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9"/>
  <sheetViews>
    <sheetView zoomScale="90" zoomScaleNormal="90" zoomScalePageLayoutView="0" workbookViewId="0" topLeftCell="A1">
      <selection activeCell="C34" sqref="C34"/>
    </sheetView>
  </sheetViews>
  <sheetFormatPr defaultColWidth="9.00390625" defaultRowHeight="12.75"/>
  <cols>
    <col min="1" max="1" width="9.125" style="2" customWidth="1"/>
    <col min="2" max="2" width="20.00390625" style="2" bestFit="1" customWidth="1"/>
    <col min="3" max="3" width="17.625" style="2" bestFit="1" customWidth="1"/>
    <col min="4" max="4" width="10.375" style="3" bestFit="1" customWidth="1"/>
    <col min="5" max="5" width="6.25390625" style="2" bestFit="1" customWidth="1"/>
    <col min="6" max="6" width="6.75390625" style="2" bestFit="1" customWidth="1"/>
    <col min="7" max="7" width="7.75390625" style="2" bestFit="1" customWidth="1"/>
    <col min="8" max="8" width="7.375" style="2" bestFit="1" customWidth="1"/>
    <col min="9" max="9" width="4.125" style="2" bestFit="1" customWidth="1"/>
    <col min="10" max="10" width="8.125" style="2" bestFit="1" customWidth="1"/>
    <col min="11" max="12" width="9.125" style="2" customWidth="1"/>
    <col min="13" max="13" width="9.125" style="19" hidden="1" customWidth="1"/>
    <col min="14" max="14" width="24.125" style="12" hidden="1" customWidth="1"/>
    <col min="15" max="17" width="9.125" style="12" hidden="1" customWidth="1"/>
    <col min="18" max="19" width="9.125" style="1" hidden="1" customWidth="1"/>
    <col min="20" max="16384" width="9.125" style="1" customWidth="1"/>
  </cols>
  <sheetData>
    <row r="1" spans="13:17" ht="15.75">
      <c r="M1" s="19">
        <v>1</v>
      </c>
      <c r="N1" s="15" t="s">
        <v>12</v>
      </c>
      <c r="O1" s="15" t="s">
        <v>56</v>
      </c>
      <c r="P1" s="16" t="s">
        <v>21</v>
      </c>
      <c r="Q1" s="15" t="s">
        <v>22</v>
      </c>
    </row>
    <row r="2" spans="2:14" ht="15.75">
      <c r="B2" s="68" t="s">
        <v>147</v>
      </c>
      <c r="C2" s="68"/>
      <c r="D2" s="68"/>
      <c r="E2" s="68"/>
      <c r="F2" s="68"/>
      <c r="G2" s="68"/>
      <c r="H2" s="68"/>
      <c r="I2" s="68"/>
      <c r="J2" s="68"/>
      <c r="K2" s="68"/>
      <c r="M2" s="19">
        <f>M1+1</f>
        <v>2</v>
      </c>
      <c r="N2" s="18" t="s">
        <v>46</v>
      </c>
    </row>
    <row r="3" spans="2:17" ht="15.75">
      <c r="B3" s="73" t="s">
        <v>222</v>
      </c>
      <c r="C3" s="68"/>
      <c r="D3" s="68"/>
      <c r="E3" s="68"/>
      <c r="F3" s="68"/>
      <c r="G3" s="68"/>
      <c r="H3" s="68"/>
      <c r="I3" s="68"/>
      <c r="J3" s="68"/>
      <c r="K3" s="68"/>
      <c r="M3" s="19">
        <f aca="true" t="shared" si="0" ref="M3:M56">M2+1</f>
        <v>3</v>
      </c>
      <c r="N3" s="13" t="s">
        <v>46</v>
      </c>
      <c r="O3" s="17">
        <v>2</v>
      </c>
      <c r="P3" s="13" t="s">
        <v>119</v>
      </c>
      <c r="Q3" s="13">
        <v>0.178</v>
      </c>
    </row>
    <row r="4" spans="2:17" ht="15.75">
      <c r="B4" s="69"/>
      <c r="C4" s="69"/>
      <c r="D4" s="69"/>
      <c r="E4" s="69"/>
      <c r="F4" s="69"/>
      <c r="G4" s="69"/>
      <c r="H4" s="69"/>
      <c r="I4" s="69"/>
      <c r="J4" s="69"/>
      <c r="K4" s="69"/>
      <c r="M4" s="19">
        <f t="shared" si="0"/>
        <v>4</v>
      </c>
      <c r="N4" s="14" t="s">
        <v>120</v>
      </c>
      <c r="O4" s="17">
        <v>2</v>
      </c>
      <c r="P4" s="13"/>
      <c r="Q4" s="13">
        <v>0.1495</v>
      </c>
    </row>
    <row r="5" spans="2:17" ht="15">
      <c r="B5" s="70"/>
      <c r="C5" s="70"/>
      <c r="D5" s="70"/>
      <c r="E5" s="70"/>
      <c r="F5" s="70"/>
      <c r="G5" s="70"/>
      <c r="H5" s="70"/>
      <c r="I5" s="70"/>
      <c r="J5" s="70"/>
      <c r="K5" s="70"/>
      <c r="M5" s="19">
        <f t="shared" si="0"/>
        <v>5</v>
      </c>
      <c r="N5" s="14" t="s">
        <v>148</v>
      </c>
      <c r="O5" s="17">
        <v>2</v>
      </c>
      <c r="P5" s="13"/>
      <c r="Q5" s="13">
        <v>0.1</v>
      </c>
    </row>
    <row r="6" spans="13:17" ht="15">
      <c r="M6" s="19">
        <f t="shared" si="0"/>
        <v>6</v>
      </c>
      <c r="N6" s="13" t="s">
        <v>163</v>
      </c>
      <c r="O6" s="17">
        <v>2</v>
      </c>
      <c r="P6" s="13"/>
      <c r="Q6" s="13">
        <v>0.215</v>
      </c>
    </row>
    <row r="7" spans="2:17" ht="15.75">
      <c r="B7" s="4" t="s">
        <v>7</v>
      </c>
      <c r="C7" s="38">
        <v>4000</v>
      </c>
      <c r="D7" s="2" t="s">
        <v>0</v>
      </c>
      <c r="E7" s="5" t="s">
        <v>169</v>
      </c>
      <c r="F7" s="8">
        <f>P41</f>
        <v>2</v>
      </c>
      <c r="G7" s="7" t="s">
        <v>4</v>
      </c>
      <c r="I7" s="5" t="s">
        <v>172</v>
      </c>
      <c r="J7" s="8">
        <f>P38</f>
        <v>2.07266</v>
      </c>
      <c r="K7" s="2" t="s">
        <v>102</v>
      </c>
      <c r="M7" s="19">
        <f t="shared" si="0"/>
        <v>7</v>
      </c>
      <c r="N7" s="14"/>
      <c r="O7" s="13"/>
      <c r="P7" s="13"/>
      <c r="Q7" s="13"/>
    </row>
    <row r="8" spans="2:19" ht="15.75">
      <c r="B8" s="4" t="s">
        <v>8</v>
      </c>
      <c r="C8" s="38">
        <v>2000</v>
      </c>
      <c r="D8" s="2" t="s">
        <v>0</v>
      </c>
      <c r="E8" s="5" t="s">
        <v>103</v>
      </c>
      <c r="F8" s="36">
        <f>$P$45</f>
        <v>1</v>
      </c>
      <c r="G8" s="7" t="s">
        <v>4</v>
      </c>
      <c r="I8" s="5" t="s">
        <v>104</v>
      </c>
      <c r="J8" s="8">
        <f>$P$39</f>
        <v>5.92734</v>
      </c>
      <c r="K8" s="2" t="s">
        <v>102</v>
      </c>
      <c r="M8" s="19">
        <f t="shared" si="0"/>
        <v>8</v>
      </c>
      <c r="N8" s="14"/>
      <c r="O8" s="13"/>
      <c r="P8" s="13"/>
      <c r="Q8" s="13"/>
      <c r="S8" s="40"/>
    </row>
    <row r="9" spans="2:19" ht="15.75">
      <c r="B9" s="4" t="s">
        <v>3</v>
      </c>
      <c r="C9" s="39">
        <v>1</v>
      </c>
      <c r="D9" s="7" t="s">
        <v>4</v>
      </c>
      <c r="E9" s="5" t="s">
        <v>114</v>
      </c>
      <c r="F9" s="6">
        <f>VLOOKUP(C11,N55:O56,2)</f>
        <v>0.04</v>
      </c>
      <c r="G9" s="6" t="s">
        <v>105</v>
      </c>
      <c r="I9" s="5" t="s">
        <v>101</v>
      </c>
      <c r="J9" s="8">
        <f>$P$51</f>
        <v>13.778</v>
      </c>
      <c r="K9" s="6" t="s">
        <v>106</v>
      </c>
      <c r="M9" s="19">
        <f t="shared" si="0"/>
        <v>9</v>
      </c>
      <c r="N9" s="14"/>
      <c r="O9" s="13"/>
      <c r="P9" s="13"/>
      <c r="Q9" s="13"/>
      <c r="S9" s="40"/>
    </row>
    <row r="10" spans="2:17" ht="15.75">
      <c r="B10" s="4" t="s">
        <v>170</v>
      </c>
      <c r="C10" s="41" t="s">
        <v>149</v>
      </c>
      <c r="D10" s="7"/>
      <c r="E10" s="5"/>
      <c r="F10" s="6"/>
      <c r="G10" s="7"/>
      <c r="I10" s="5"/>
      <c r="J10" s="8"/>
      <c r="M10" s="19">
        <f t="shared" si="0"/>
        <v>10</v>
      </c>
      <c r="N10" s="14"/>
      <c r="O10" s="13"/>
      <c r="P10" s="13"/>
      <c r="Q10" s="13"/>
    </row>
    <row r="11" spans="2:17" ht="15.75">
      <c r="B11" s="32" t="s">
        <v>113</v>
      </c>
      <c r="C11" s="39" t="s">
        <v>111</v>
      </c>
      <c r="D11" s="7"/>
      <c r="M11" s="19">
        <f t="shared" si="0"/>
        <v>11</v>
      </c>
      <c r="N11" s="14"/>
      <c r="O11" s="13"/>
      <c r="P11" s="13"/>
      <c r="Q11" s="13"/>
    </row>
    <row r="12" spans="4:13" ht="15">
      <c r="D12" s="2"/>
      <c r="M12" s="19">
        <f t="shared" si="0"/>
        <v>12</v>
      </c>
    </row>
    <row r="13" spans="4:14" ht="15.75">
      <c r="D13" s="2"/>
      <c r="M13" s="19">
        <f t="shared" si="0"/>
        <v>13</v>
      </c>
      <c r="N13" s="18" t="s">
        <v>150</v>
      </c>
    </row>
    <row r="14" spans="4:19" ht="15">
      <c r="D14" s="2"/>
      <c r="M14" s="19">
        <f t="shared" si="0"/>
        <v>14</v>
      </c>
      <c r="N14" s="14"/>
      <c r="O14" s="17" t="s">
        <v>151</v>
      </c>
      <c r="P14" s="13" t="s">
        <v>159</v>
      </c>
      <c r="Q14" s="13" t="s">
        <v>152</v>
      </c>
      <c r="R14" s="13" t="s">
        <v>173</v>
      </c>
      <c r="S14" s="13" t="s">
        <v>174</v>
      </c>
    </row>
    <row r="15" spans="4:19" ht="15">
      <c r="D15" s="2"/>
      <c r="M15" s="19">
        <f t="shared" si="0"/>
        <v>15</v>
      </c>
      <c r="N15" s="14" t="s">
        <v>149</v>
      </c>
      <c r="O15" s="17">
        <f>$P$34</f>
        <v>1.3606319999999998</v>
      </c>
      <c r="P15" s="17">
        <f>$P$35</f>
        <v>0.544778</v>
      </c>
      <c r="Q15" s="17">
        <f>P36</f>
        <v>0.16725</v>
      </c>
      <c r="R15" s="43">
        <f>O15+P15+Q15</f>
        <v>2.07266</v>
      </c>
      <c r="S15" s="42">
        <f>(P28-2*P30-P32)*2+(P29-P30-P31)*4</f>
        <v>13.778</v>
      </c>
    </row>
    <row r="16" spans="13:19" ht="15">
      <c r="M16" s="19">
        <f t="shared" si="0"/>
        <v>16</v>
      </c>
      <c r="N16" s="14" t="s">
        <v>223</v>
      </c>
      <c r="O16" s="17">
        <f>$P$34</f>
        <v>1.3606319999999998</v>
      </c>
      <c r="P16" s="17">
        <f>$P$35</f>
        <v>0.544778</v>
      </c>
      <c r="Q16" s="13">
        <f>2*P36+P37</f>
        <v>0.6940875</v>
      </c>
      <c r="R16" s="43">
        <f>O16+P16+Q16</f>
        <v>2.5994975</v>
      </c>
      <c r="S16" s="42">
        <f>(P28-2*P30-2*P32-P33)*2+(P29-P30-P31)*8</f>
        <v>19.838</v>
      </c>
    </row>
    <row r="17" spans="4:19" ht="15">
      <c r="D17" s="9"/>
      <c r="M17" s="19">
        <f t="shared" si="0"/>
        <v>17</v>
      </c>
      <c r="N17" s="14"/>
      <c r="O17" s="17"/>
      <c r="P17" s="17"/>
      <c r="Q17" s="13"/>
      <c r="R17" s="43"/>
      <c r="S17" s="42"/>
    </row>
    <row r="18" spans="4:19" ht="15">
      <c r="D18" s="9"/>
      <c r="M18" s="19">
        <f t="shared" si="0"/>
        <v>18</v>
      </c>
      <c r="N18" s="14"/>
      <c r="O18" s="17"/>
      <c r="P18" s="13"/>
      <c r="Q18" s="13"/>
      <c r="R18" s="42"/>
      <c r="S18" s="42"/>
    </row>
    <row r="19" spans="4:19" ht="15">
      <c r="D19" s="9"/>
      <c r="M19" s="19">
        <f t="shared" si="0"/>
        <v>19</v>
      </c>
      <c r="N19" s="14"/>
      <c r="O19" s="17"/>
      <c r="P19" s="13"/>
      <c r="Q19" s="13"/>
      <c r="R19" s="42"/>
      <c r="S19" s="42"/>
    </row>
    <row r="20" spans="4:19" ht="15">
      <c r="D20" s="9"/>
      <c r="M20" s="19">
        <f t="shared" si="0"/>
        <v>20</v>
      </c>
      <c r="N20" s="14"/>
      <c r="O20" s="17"/>
      <c r="P20" s="13"/>
      <c r="Q20" s="13"/>
      <c r="R20" s="42"/>
      <c r="S20" s="42"/>
    </row>
    <row r="21" spans="4:19" ht="15">
      <c r="D21" s="9"/>
      <c r="M21" s="19">
        <f t="shared" si="0"/>
        <v>21</v>
      </c>
      <c r="N21" s="14"/>
      <c r="O21" s="17"/>
      <c r="P21" s="13"/>
      <c r="Q21" s="13"/>
      <c r="R21" s="42"/>
      <c r="S21" s="42"/>
    </row>
    <row r="22" spans="4:19" ht="15">
      <c r="D22" s="9"/>
      <c r="M22" s="19">
        <f t="shared" si="0"/>
        <v>22</v>
      </c>
      <c r="N22" s="14"/>
      <c r="O22" s="17"/>
      <c r="P22" s="13"/>
      <c r="Q22" s="13"/>
      <c r="R22" s="42"/>
      <c r="S22" s="42"/>
    </row>
    <row r="23" spans="4:19" ht="15">
      <c r="D23" s="9"/>
      <c r="M23" s="19">
        <f t="shared" si="0"/>
        <v>23</v>
      </c>
      <c r="N23" s="14"/>
      <c r="O23" s="17"/>
      <c r="P23" s="13"/>
      <c r="Q23" s="13"/>
      <c r="R23" s="42"/>
      <c r="S23" s="42"/>
    </row>
    <row r="24" spans="4:19" ht="15">
      <c r="D24" s="9"/>
      <c r="M24" s="19">
        <f t="shared" si="0"/>
        <v>24</v>
      </c>
      <c r="N24" s="14"/>
      <c r="O24" s="17"/>
      <c r="P24" s="13"/>
      <c r="Q24" s="13"/>
      <c r="R24" s="42"/>
      <c r="S24" s="42"/>
    </row>
    <row r="25" spans="4:19" ht="15">
      <c r="D25" s="9"/>
      <c r="M25" s="19">
        <f t="shared" si="0"/>
        <v>25</v>
      </c>
      <c r="N25" s="14"/>
      <c r="O25" s="17"/>
      <c r="P25" s="13"/>
      <c r="Q25" s="13"/>
      <c r="R25" s="42"/>
      <c r="S25" s="42"/>
    </row>
    <row r="26" spans="13:19" ht="15.75" thickBot="1">
      <c r="M26" s="19">
        <f t="shared" si="0"/>
        <v>26</v>
      </c>
      <c r="N26" s="14"/>
      <c r="O26" s="17"/>
      <c r="P26" s="13"/>
      <c r="Q26" s="13"/>
      <c r="R26" s="42"/>
      <c r="S26" s="42"/>
    </row>
    <row r="27" spans="5:13" ht="19.5" thickBot="1" thickTop="1">
      <c r="E27" s="60" t="s">
        <v>55</v>
      </c>
      <c r="F27" s="61">
        <f>P52</f>
        <v>1.3279725</v>
      </c>
      <c r="G27" s="62" t="s">
        <v>4</v>
      </c>
      <c r="H27" s="63"/>
      <c r="M27" s="19">
        <f t="shared" si="0"/>
        <v>27</v>
      </c>
    </row>
    <row r="28" spans="13:16" ht="15.75" thickTop="1">
      <c r="M28" s="19">
        <f t="shared" si="0"/>
        <v>28</v>
      </c>
      <c r="N28" s="26" t="s">
        <v>90</v>
      </c>
      <c r="O28" s="28" t="s">
        <v>92</v>
      </c>
      <c r="P28" s="26">
        <f>C7/1000</f>
        <v>4</v>
      </c>
    </row>
    <row r="29" spans="2:16" ht="15">
      <c r="B29" s="31" t="s">
        <v>108</v>
      </c>
      <c r="M29" s="19">
        <f t="shared" si="0"/>
        <v>29</v>
      </c>
      <c r="N29" s="26" t="s">
        <v>91</v>
      </c>
      <c r="O29" s="28" t="s">
        <v>93</v>
      </c>
      <c r="P29" s="26">
        <f>C8/1000</f>
        <v>2</v>
      </c>
    </row>
    <row r="30" spans="13:16" ht="15">
      <c r="M30" s="19">
        <f t="shared" si="0"/>
        <v>30</v>
      </c>
      <c r="N30" s="27" t="s">
        <v>153</v>
      </c>
      <c r="O30" s="20" t="s">
        <v>155</v>
      </c>
      <c r="P30" s="21">
        <f>Q3</f>
        <v>0.178</v>
      </c>
    </row>
    <row r="31" spans="13:16" ht="15">
      <c r="M31" s="19">
        <f t="shared" si="0"/>
        <v>31</v>
      </c>
      <c r="N31" s="27" t="s">
        <v>122</v>
      </c>
      <c r="O31" s="20" t="s">
        <v>165</v>
      </c>
      <c r="P31" s="21">
        <f>Q4</f>
        <v>0.1495</v>
      </c>
    </row>
    <row r="32" spans="13:16" ht="15">
      <c r="M32" s="19">
        <f t="shared" si="0"/>
        <v>32</v>
      </c>
      <c r="N32" s="27" t="s">
        <v>154</v>
      </c>
      <c r="O32" s="20" t="s">
        <v>156</v>
      </c>
      <c r="P32" s="21">
        <f>Q5</f>
        <v>0.1</v>
      </c>
    </row>
    <row r="33" spans="13:18" ht="15">
      <c r="M33" s="19">
        <f t="shared" si="0"/>
        <v>33</v>
      </c>
      <c r="N33" s="27" t="s">
        <v>164</v>
      </c>
      <c r="O33" s="20" t="s">
        <v>166</v>
      </c>
      <c r="P33" s="21">
        <f>Q6</f>
        <v>0.215</v>
      </c>
      <c r="R33" s="12"/>
    </row>
    <row r="34" spans="13:20" ht="15">
      <c r="M34" s="19">
        <f t="shared" si="0"/>
        <v>34</v>
      </c>
      <c r="N34" s="27" t="s">
        <v>157</v>
      </c>
      <c r="O34" s="20" t="s">
        <v>158</v>
      </c>
      <c r="P34" s="24">
        <f>(P28*P30)+((P29-P30)*P30*2)</f>
        <v>1.3606319999999998</v>
      </c>
      <c r="S34" s="25"/>
      <c r="T34" s="25"/>
    </row>
    <row r="35" spans="13:17" ht="15">
      <c r="M35" s="19">
        <f t="shared" si="0"/>
        <v>35</v>
      </c>
      <c r="N35" s="27" t="s">
        <v>124</v>
      </c>
      <c r="O35" s="20" t="s">
        <v>160</v>
      </c>
      <c r="P35" s="24">
        <f>(P28-2*P30)*P31</f>
        <v>0.544778</v>
      </c>
      <c r="Q35" s="1"/>
    </row>
    <row r="36" spans="13:16" ht="15">
      <c r="M36" s="19">
        <f t="shared" si="0"/>
        <v>36</v>
      </c>
      <c r="N36" s="27" t="s">
        <v>161</v>
      </c>
      <c r="O36" s="20" t="s">
        <v>162</v>
      </c>
      <c r="P36" s="24">
        <f>(P29-P30-P31)*P32</f>
        <v>0.16725</v>
      </c>
    </row>
    <row r="37" spans="13:16" ht="15">
      <c r="M37" s="19">
        <f t="shared" si="0"/>
        <v>37</v>
      </c>
      <c r="N37" s="27" t="s">
        <v>167</v>
      </c>
      <c r="O37" s="20" t="s">
        <v>168</v>
      </c>
      <c r="P37" s="24">
        <f>(P29-P30-P31)*P33</f>
        <v>0.3595875</v>
      </c>
    </row>
    <row r="38" spans="13:16" ht="15">
      <c r="M38" s="19">
        <f t="shared" si="0"/>
        <v>38</v>
      </c>
      <c r="N38" s="27" t="s">
        <v>80</v>
      </c>
      <c r="O38" s="20" t="s">
        <v>72</v>
      </c>
      <c r="P38" s="24">
        <f>VLOOKUP(C10,N15:R17,5)</f>
        <v>2.07266</v>
      </c>
    </row>
    <row r="39" spans="13:16" ht="15">
      <c r="M39" s="19">
        <f t="shared" si="0"/>
        <v>39</v>
      </c>
      <c r="N39" s="27" t="s">
        <v>82</v>
      </c>
      <c r="O39" s="20" t="s">
        <v>81</v>
      </c>
      <c r="P39" s="24">
        <f>(P28*P29)-P38</f>
        <v>5.92734</v>
      </c>
    </row>
    <row r="40" spans="13:16" ht="15">
      <c r="M40" s="19">
        <f t="shared" si="0"/>
        <v>40</v>
      </c>
      <c r="N40" s="27" t="s">
        <v>83</v>
      </c>
      <c r="O40" s="20" t="s">
        <v>9</v>
      </c>
      <c r="P40" s="24">
        <f>P28*P29</f>
        <v>8</v>
      </c>
    </row>
    <row r="41" spans="13:16" ht="15">
      <c r="M41" s="19">
        <f t="shared" si="0"/>
        <v>41</v>
      </c>
      <c r="N41" s="26" t="s">
        <v>171</v>
      </c>
      <c r="O41" s="20" t="s">
        <v>84</v>
      </c>
      <c r="P41" s="22">
        <f>O3</f>
        <v>2</v>
      </c>
    </row>
    <row r="42" spans="13:16" ht="15">
      <c r="M42" s="19">
        <f t="shared" si="0"/>
        <v>42</v>
      </c>
      <c r="N42" s="26"/>
      <c r="O42" s="20"/>
      <c r="P42" s="22"/>
    </row>
    <row r="43" spans="13:16" ht="15">
      <c r="M43" s="19">
        <f t="shared" si="0"/>
        <v>43</v>
      </c>
      <c r="N43" s="26"/>
      <c r="O43" s="20"/>
      <c r="P43" s="23"/>
    </row>
    <row r="44" spans="13:16" ht="15">
      <c r="M44" s="19">
        <f t="shared" si="0"/>
        <v>44</v>
      </c>
      <c r="N44" s="26"/>
      <c r="O44" s="20"/>
      <c r="P44" s="23"/>
    </row>
    <row r="45" spans="13:16" ht="15">
      <c r="M45" s="19">
        <f t="shared" si="0"/>
        <v>45</v>
      </c>
      <c r="N45" s="26" t="s">
        <v>88</v>
      </c>
      <c r="O45" s="20" t="s">
        <v>89</v>
      </c>
      <c r="P45" s="21">
        <f>C9</f>
        <v>1</v>
      </c>
    </row>
    <row r="46" spans="13:16" ht="15">
      <c r="M46" s="19">
        <f t="shared" si="0"/>
        <v>46</v>
      </c>
      <c r="N46" s="26"/>
      <c r="O46" s="20"/>
      <c r="P46" s="23"/>
    </row>
    <row r="47" spans="13:16" ht="15">
      <c r="M47" s="19">
        <f t="shared" si="0"/>
        <v>47</v>
      </c>
      <c r="N47" s="26"/>
      <c r="O47" s="20"/>
      <c r="P47" s="23"/>
    </row>
    <row r="48" spans="13:16" ht="15">
      <c r="M48" s="19">
        <f t="shared" si="0"/>
        <v>48</v>
      </c>
      <c r="N48" s="26"/>
      <c r="O48" s="20"/>
      <c r="P48" s="24"/>
    </row>
    <row r="49" spans="13:16" ht="15">
      <c r="M49" s="19">
        <f t="shared" si="0"/>
        <v>49</v>
      </c>
      <c r="N49" s="26"/>
      <c r="O49" s="20"/>
      <c r="P49" s="24"/>
    </row>
    <row r="50" spans="13:16" ht="15">
      <c r="M50" s="19">
        <f t="shared" si="0"/>
        <v>50</v>
      </c>
      <c r="N50" s="26"/>
      <c r="O50" s="28"/>
      <c r="P50" s="24"/>
    </row>
    <row r="51" spans="13:16" ht="15">
      <c r="M51" s="19">
        <f t="shared" si="0"/>
        <v>51</v>
      </c>
      <c r="N51" s="26" t="s">
        <v>100</v>
      </c>
      <c r="O51" s="28" t="s">
        <v>101</v>
      </c>
      <c r="P51" s="29">
        <f>VLOOKUP(C10,N15:S17,6)</f>
        <v>13.778</v>
      </c>
    </row>
    <row r="52" spans="13:16" ht="15">
      <c r="M52" s="19">
        <f t="shared" si="0"/>
        <v>52</v>
      </c>
      <c r="N52" s="26" t="s">
        <v>107</v>
      </c>
      <c r="O52" s="28" t="s">
        <v>55</v>
      </c>
      <c r="P52" s="12">
        <f>(P41*P38+P45*P39+F9*P51)/P40</f>
        <v>1.3279725</v>
      </c>
    </row>
    <row r="53" ht="15">
      <c r="M53" s="19">
        <f t="shared" si="0"/>
        <v>53</v>
      </c>
    </row>
    <row r="54" spans="13:15" ht="15.75">
      <c r="M54" s="19">
        <f t="shared" si="0"/>
        <v>54</v>
      </c>
      <c r="N54" s="34" t="s">
        <v>109</v>
      </c>
      <c r="O54" s="16" t="s">
        <v>21</v>
      </c>
    </row>
    <row r="55" spans="13:15" ht="15">
      <c r="M55" s="19">
        <f t="shared" si="0"/>
        <v>55</v>
      </c>
      <c r="N55" s="13" t="s">
        <v>110</v>
      </c>
      <c r="O55" s="13">
        <v>0.07</v>
      </c>
    </row>
    <row r="56" spans="13:15" ht="15">
      <c r="M56" s="19">
        <f t="shared" si="0"/>
        <v>56</v>
      </c>
      <c r="N56" s="13" t="s">
        <v>111</v>
      </c>
      <c r="O56" s="13">
        <v>0.04</v>
      </c>
    </row>
    <row r="58" ht="15">
      <c r="N58" s="12">
        <v>0</v>
      </c>
    </row>
    <row r="59" ht="15">
      <c r="N59" s="12">
        <v>1</v>
      </c>
    </row>
  </sheetData>
  <sheetProtection/>
  <mergeCells count="4">
    <mergeCell ref="B2:K2"/>
    <mergeCell ref="B3:K3"/>
    <mergeCell ref="B4:K4"/>
    <mergeCell ref="B5:K5"/>
  </mergeCells>
  <dataValidations count="2">
    <dataValidation type="list" allowBlank="1" showInputMessage="1" showErrorMessage="1" promptTitle="Ramka" prompt="Wybierz z listy" sqref="C11">
      <formula1>$N$55:$N$56</formula1>
    </dataValidation>
    <dataValidation type="list" allowBlank="1" showInputMessage="1" showErrorMessage="1" sqref="C10">
      <formula1>$N$15:$N$17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5"/>
  <drawing r:id="rId4"/>
  <legacyDrawing r:id="rId3"/>
  <oleObjects>
    <oleObject progId="Dokument" shapeId="6625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aluplast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Obliczenia współczynnika Uw</dc:title>
  <dc:subject/>
  <dc:creator>Karol Reinsch</dc:creator>
  <cp:keywords/>
  <dc:description/>
  <cp:lastModifiedBy>Sylwester</cp:lastModifiedBy>
  <cp:lastPrinted>2010-06-10T11:53:39Z</cp:lastPrinted>
  <dcterms:created xsi:type="dcterms:W3CDTF">2002-11-15T10:19:13Z</dcterms:created>
  <dcterms:modified xsi:type="dcterms:W3CDTF">2011-09-27T07:24:29Z</dcterms:modified>
  <cp:category/>
  <cp:version/>
  <cp:contentType/>
  <cp:contentStatus/>
</cp:coreProperties>
</file>